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Investeringsbegroting" sheetId="1" r:id="rId1"/>
    <sheet name="Openingsbalans" sheetId="2" r:id="rId2"/>
    <sheet name="Resultatenrekening" sheetId="3" r:id="rId3"/>
    <sheet name="Liquiditeitsrekening" sheetId="4" r:id="rId4"/>
    <sheet name="Balans Januari" sheetId="5" r:id="rId5"/>
    <sheet name="Balans Februari" sheetId="6" r:id="rId6"/>
    <sheet name="Balans Maart" sheetId="7" r:id="rId7"/>
    <sheet name="Balans April" sheetId="8" r:id="rId8"/>
    <sheet name="Balans 1 Juni" sheetId="9" r:id="rId9"/>
    <sheet name="Balans 1 Juli" sheetId="10" r:id="rId10"/>
    <sheet name="Balans 1 Augustus" sheetId="11" r:id="rId11"/>
    <sheet name="Kostenspecificatie" sheetId="12" r:id="rId12"/>
  </sheets>
  <definedNames/>
  <calcPr fullCalcOnLoad="1"/>
</workbook>
</file>

<file path=xl/sharedStrings.xml><?xml version="1.0" encoding="utf-8"?>
<sst xmlns="http://schemas.openxmlformats.org/spreadsheetml/2006/main" count="300" uniqueCount="124">
  <si>
    <t>Debet</t>
  </si>
  <si>
    <t>Credit</t>
  </si>
  <si>
    <t>Inventaris</t>
  </si>
  <si>
    <t>Reviewer</t>
  </si>
  <si>
    <t>Administrateur</t>
  </si>
  <si>
    <t>Liquide middelen</t>
  </si>
  <si>
    <t>Kantoorartikelen</t>
  </si>
  <si>
    <t>Vaste activa</t>
  </si>
  <si>
    <t>Investeringsbegroting per 01-12-2003</t>
  </si>
  <si>
    <t>Pand (wordt gehuurd)</t>
  </si>
  <si>
    <t>Totaal</t>
  </si>
  <si>
    <t>Huur</t>
  </si>
  <si>
    <t>Salarissen</t>
  </si>
  <si>
    <t>Sociale lasten</t>
  </si>
  <si>
    <t>Overige bedrijfskosten</t>
  </si>
  <si>
    <t>Kosten KvK</t>
  </si>
  <si>
    <t>Huur (incl. water, gas, electra)</t>
  </si>
  <si>
    <t>Directeur</t>
  </si>
  <si>
    <t>Representing Instructor</t>
  </si>
  <si>
    <t>Consultant 1</t>
  </si>
  <si>
    <t>Consultant 2</t>
  </si>
  <si>
    <t>Opmerkingen</t>
  </si>
  <si>
    <t>Daar wij deze niet hebben, is dit salaris gelijk aan het salaris van de administrateur</t>
  </si>
  <si>
    <t>Meubilair</t>
  </si>
  <si>
    <t>Computers</t>
  </si>
  <si>
    <t>Printer/Fax/kopieerapparaat.</t>
  </si>
  <si>
    <t>Op de werkplek bevinden zich 4 computers t.w.v. € 649,-. Deze worden in 3 jaar afgeschreven.</t>
  </si>
  <si>
    <t>Kostenspecificatie Januari 2004</t>
  </si>
  <si>
    <t>Onder deze kosten vallen onder andere kabel en telefonie</t>
  </si>
  <si>
    <t>Dit is een jaarlijks verschuldigd bedrag voor het lidmaatschap. Dit wordt elk jaar op 1 januari overgemaakt te worden op de rekening van de Kamer van Koophandel.</t>
  </si>
  <si>
    <t>Notariskosten</t>
  </si>
  <si>
    <t>Dit zijn eenmalige kosten voor de oprichting van de BV. Deze kosten worden op 1 januari 2004 geactiveerd.</t>
  </si>
  <si>
    <t>De vennootschapsbelasting die geheven wordt over de winst is 29% over de eerste € 22689,- en 34,5% over het meerdere.</t>
  </si>
  <si>
    <t>Rekening courant krediet</t>
  </si>
  <si>
    <t>Kas</t>
  </si>
  <si>
    <t>Vlottende activa</t>
  </si>
  <si>
    <t>Verzekeringen</t>
  </si>
  <si>
    <t>Ontvangsten</t>
  </si>
  <si>
    <t>Uitgaven</t>
  </si>
  <si>
    <t>Netto ontvangsten</t>
  </si>
  <si>
    <t>Beginsaldo liquide middelen</t>
  </si>
  <si>
    <t>aansprakelijkheidsverzekering</t>
  </si>
  <si>
    <t>Inboedelverzekering</t>
  </si>
  <si>
    <t xml:space="preserve">De aanschafwaarde van het meubilair is € 6400,-. De levensduur is 5 jaar. </t>
  </si>
  <si>
    <t>Bank</t>
  </si>
  <si>
    <t>Bijdrage KvK</t>
  </si>
  <si>
    <t>Voorraad kantoorbenodigdheden</t>
  </si>
  <si>
    <t xml:space="preserve">Onder kantoorbenodigdheden vallen pennen, papier en overige benodigdheden voor de dagelijkse werkzaamheden op kantoor. </t>
  </si>
  <si>
    <t>Aanschaf kantoorbenodigdheden</t>
  </si>
  <si>
    <t>Totaal uitgaven</t>
  </si>
  <si>
    <t>Liquiditeitsrekening E-Power Consultants BV</t>
  </si>
  <si>
    <t>BTW</t>
  </si>
  <si>
    <t>Totaal ontvangsten</t>
  </si>
  <si>
    <t>Winst</t>
  </si>
  <si>
    <t>Voor de overige maanden verwachten wij om de voorraad op peil te houden € 150 nodig te hebben.</t>
  </si>
  <si>
    <t>Buitengewone ontvangsten</t>
  </si>
  <si>
    <t>Af te dragen BTW</t>
  </si>
  <si>
    <t>Nog te ontvangen BTW</t>
  </si>
  <si>
    <t>Totaal af te dragen aan fiscus</t>
  </si>
  <si>
    <t>Subsidies</t>
  </si>
  <si>
    <t>Te vorderen BTW</t>
  </si>
  <si>
    <t>Aanloopkosten</t>
  </si>
  <si>
    <t xml:space="preserve">Vaste activa </t>
  </si>
  <si>
    <t>Financieringsplan</t>
  </si>
  <si>
    <t>Totale investering</t>
  </si>
  <si>
    <t>Beschikbaar eigen vermogen</t>
  </si>
  <si>
    <t>Saldo bank</t>
  </si>
  <si>
    <t>Mei '04</t>
  </si>
  <si>
    <t>Juli '04</t>
  </si>
  <si>
    <t>Juni '04</t>
  </si>
  <si>
    <t>Geplaatst en gestort aandelenkapitaal</t>
  </si>
  <si>
    <t>Openingsbalans E-Power Consultants BV</t>
  </si>
  <si>
    <t>Balans per 1 december 2004</t>
  </si>
  <si>
    <t>Resultatenrekening E-Powerconsultants BV 2003 -2004</t>
  </si>
  <si>
    <t>Opbrengsten</t>
  </si>
  <si>
    <t>Opdrachten</t>
  </si>
  <si>
    <t>Buitengewone baten</t>
  </si>
  <si>
    <t>Totaal opbrengsten</t>
  </si>
  <si>
    <t>Kosten</t>
  </si>
  <si>
    <t>kantoorbenodigdheden</t>
  </si>
  <si>
    <t xml:space="preserve">Begroting </t>
  </si>
  <si>
    <t>Nacalculatie</t>
  </si>
  <si>
    <t>Dec '03</t>
  </si>
  <si>
    <t>Jan '04</t>
  </si>
  <si>
    <t>Feb '04</t>
  </si>
  <si>
    <t>Mrt '04</t>
  </si>
  <si>
    <t>Totaal kosten</t>
  </si>
  <si>
    <t>Winst voor belasting</t>
  </si>
  <si>
    <t>Vennootschapsbelasting</t>
  </si>
  <si>
    <t>Netto winst</t>
  </si>
  <si>
    <t>Cumulatief resultaat</t>
  </si>
  <si>
    <t>Apr '04</t>
  </si>
  <si>
    <t>Vennotschapsbelasting</t>
  </si>
  <si>
    <t>Op de werkplek bevindt zich een all-in-one Office Laserjet t.w.v. € 657,-. De levensduur is 4 jaar.</t>
  </si>
  <si>
    <t>* alle genoemde kosten zijn exclusief btw</t>
  </si>
  <si>
    <t>Eigen vermogen</t>
  </si>
  <si>
    <t>Lang vreemd vermogen</t>
  </si>
  <si>
    <t>Kort vreemd vermogen</t>
  </si>
  <si>
    <t>Te betalen BTW</t>
  </si>
  <si>
    <t>E-Power Consultants BV</t>
  </si>
  <si>
    <t xml:space="preserve">  Balans per 1 januari 2004</t>
  </si>
  <si>
    <t>Te betalen vennootschapsbelasting</t>
  </si>
  <si>
    <t>De sociale lasten bestaan uit werkgeversaandeel + sociale lasten. Dit is €2000 per maand</t>
  </si>
  <si>
    <t>Afschrijving inventaris</t>
  </si>
  <si>
    <t>Afschrijving aanloopkosten</t>
  </si>
  <si>
    <t>Afschrijvingen inventrais</t>
  </si>
  <si>
    <t>Afschrijvingen aanloopkosten</t>
  </si>
  <si>
    <t>notariskosten</t>
  </si>
  <si>
    <t>KVK</t>
  </si>
  <si>
    <t>De notariskosten worden afgeschreven over 13 maanden</t>
  </si>
  <si>
    <t>De kosten voor KVK worden afgeschreven over 13 maanden</t>
  </si>
  <si>
    <t>Te betalen sociale lasten</t>
  </si>
  <si>
    <t xml:space="preserve">  Balans per 1 Februari 2004</t>
  </si>
  <si>
    <t>De verzekeringen worden in 12 maandelijkse termijnen betaald/ De kosten worden tevens gecalculeerd in deze maanden.</t>
  </si>
  <si>
    <t xml:space="preserve">  Balans per 1 Maart 2004</t>
  </si>
  <si>
    <t>Cumulatief Vennootschapsbelasting</t>
  </si>
  <si>
    <t xml:space="preserve">  Balans per 1 April 2004</t>
  </si>
  <si>
    <t xml:space="preserve">  Balans per 1 juni 2004</t>
  </si>
  <si>
    <t>Eindsaldo liquide middelen</t>
  </si>
  <si>
    <t xml:space="preserve">  Balans per 1 juli 2004</t>
  </si>
  <si>
    <t>Arp '04*</t>
  </si>
  <si>
    <t>*April en Mei vielen onder een weeknummer (week 5) ivm met reces. De financiële gegevens zijn verwerkt onder Mei</t>
  </si>
  <si>
    <t>Totale winst voor belasting</t>
  </si>
  <si>
    <t>Gezien het feit dat er gedurende het project mbt de vennootschapsbelasting alleen rekening is gehouden met een positief resultaat, is er teveel vennootschapsbelasting geactiveerd. In de balans van 1 augustus is dit verrekend met de bedragen hiernaast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</si>
</sst>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11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8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i/>
      <sz val="8"/>
      <name val="Trebuchet MS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44" fontId="0" fillId="0" borderId="0" xfId="15" applyAlignment="1">
      <alignment/>
    </xf>
    <xf numFmtId="0" fontId="2" fillId="0" borderId="0" xfId="0" applyFont="1" applyAlignment="1">
      <alignment/>
    </xf>
    <xf numFmtId="44" fontId="1" fillId="0" borderId="1" xfId="15" applyFont="1" applyBorder="1" applyAlignment="1">
      <alignment/>
    </xf>
    <xf numFmtId="0" fontId="1" fillId="0" borderId="0" xfId="0" applyFont="1" applyAlignment="1">
      <alignment/>
    </xf>
    <xf numFmtId="44" fontId="1" fillId="0" borderId="0" xfId="15" applyFont="1" applyAlignment="1">
      <alignment/>
    </xf>
    <xf numFmtId="0" fontId="5" fillId="0" borderId="2" xfId="0" applyFont="1" applyBorder="1" applyAlignment="1">
      <alignment/>
    </xf>
    <xf numFmtId="44" fontId="1" fillId="0" borderId="2" xfId="15" applyFont="1" applyBorder="1" applyAlignment="1">
      <alignment/>
    </xf>
    <xf numFmtId="44" fontId="1" fillId="0" borderId="3" xfId="15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0" xfId="0" applyFont="1" applyAlignment="1">
      <alignment horizontal="left" indent="1"/>
    </xf>
    <xf numFmtId="44" fontId="1" fillId="0" borderId="4" xfId="15" applyFont="1" applyBorder="1" applyAlignment="1">
      <alignment/>
    </xf>
    <xf numFmtId="0" fontId="1" fillId="0" borderId="0" xfId="0" applyFont="1" applyAlignment="1">
      <alignment vertical="distributed"/>
    </xf>
    <xf numFmtId="0" fontId="1" fillId="0" borderId="0" xfId="0" applyFont="1" applyBorder="1" applyAlignment="1">
      <alignment vertical="distributed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4" fontId="1" fillId="0" borderId="6" xfId="15" applyFont="1" applyBorder="1" applyAlignment="1">
      <alignment/>
    </xf>
    <xf numFmtId="44" fontId="1" fillId="0" borderId="7" xfId="15" applyFont="1" applyBorder="1" applyAlignment="1">
      <alignment/>
    </xf>
    <xf numFmtId="0" fontId="2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0" xfId="0" applyFont="1" applyAlignment="1">
      <alignment vertical="distributed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7" fillId="0" borderId="0" xfId="15" applyFont="1" applyAlignment="1">
      <alignment/>
    </xf>
    <xf numFmtId="0" fontId="7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44" fontId="7" fillId="0" borderId="9" xfId="15" applyFont="1" applyBorder="1" applyAlignment="1">
      <alignment/>
    </xf>
    <xf numFmtId="0" fontId="8" fillId="2" borderId="6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44" fontId="7" fillId="2" borderId="6" xfId="15" applyFont="1" applyFill="1" applyBorder="1" applyAlignment="1">
      <alignment/>
    </xf>
    <xf numFmtId="44" fontId="7" fillId="0" borderId="4" xfId="15" applyFont="1" applyBorder="1" applyAlignment="1">
      <alignment/>
    </xf>
    <xf numFmtId="0" fontId="7" fillId="0" borderId="6" xfId="0" applyFont="1" applyBorder="1" applyAlignment="1">
      <alignment/>
    </xf>
    <xf numFmtId="44" fontId="7" fillId="0" borderId="6" xfId="15" applyFont="1" applyBorder="1" applyAlignment="1">
      <alignment/>
    </xf>
    <xf numFmtId="0" fontId="6" fillId="0" borderId="4" xfId="0" applyFont="1" applyFill="1" applyBorder="1" applyAlignment="1">
      <alignment/>
    </xf>
    <xf numFmtId="44" fontId="6" fillId="0" borderId="4" xfId="15" applyFont="1" applyFill="1" applyBorder="1" applyAlignment="1">
      <alignment/>
    </xf>
    <xf numFmtId="0" fontId="6" fillId="0" borderId="0" xfId="0" applyFont="1" applyBorder="1" applyAlignment="1">
      <alignment/>
    </xf>
    <xf numFmtId="44" fontId="7" fillId="0" borderId="10" xfId="15" applyFont="1" applyBorder="1" applyAlignment="1">
      <alignment/>
    </xf>
    <xf numFmtId="0" fontId="7" fillId="0" borderId="0" xfId="0" applyFont="1" applyBorder="1" applyAlignment="1">
      <alignment/>
    </xf>
    <xf numFmtId="44" fontId="6" fillId="0" borderId="0" xfId="15" applyFont="1" applyBorder="1" applyAlignment="1">
      <alignment/>
    </xf>
    <xf numFmtId="0" fontId="7" fillId="0" borderId="0" xfId="0" applyFont="1" applyBorder="1" applyAlignment="1">
      <alignment horizontal="left" indent="1"/>
    </xf>
    <xf numFmtId="44" fontId="7" fillId="0" borderId="1" xfId="15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indent="2"/>
    </xf>
    <xf numFmtId="0" fontId="7" fillId="0" borderId="4" xfId="0" applyFont="1" applyBorder="1" applyAlignment="1">
      <alignment/>
    </xf>
    <xf numFmtId="44" fontId="7" fillId="0" borderId="11" xfId="15" applyFont="1" applyBorder="1" applyAlignment="1">
      <alignment/>
    </xf>
    <xf numFmtId="0" fontId="9" fillId="2" borderId="12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7" fillId="2" borderId="15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44" fontId="8" fillId="2" borderId="16" xfId="15" applyFont="1" applyFill="1" applyBorder="1" applyAlignment="1">
      <alignment horizontal="right"/>
    </xf>
    <xf numFmtId="44" fontId="7" fillId="0" borderId="0" xfId="15" applyFont="1" applyAlignment="1">
      <alignment horizontal="right"/>
    </xf>
    <xf numFmtId="44" fontId="7" fillId="2" borderId="18" xfId="15" applyFont="1" applyFill="1" applyBorder="1" applyAlignment="1">
      <alignment/>
    </xf>
    <xf numFmtId="44" fontId="7" fillId="2" borderId="17" xfId="15" applyFont="1" applyFill="1" applyBorder="1" applyAlignment="1">
      <alignment/>
    </xf>
    <xf numFmtId="44" fontId="7" fillId="2" borderId="19" xfId="15" applyFont="1" applyFill="1" applyBorder="1" applyAlignment="1">
      <alignment/>
    </xf>
    <xf numFmtId="44" fontId="7" fillId="2" borderId="15" xfId="15" applyFont="1" applyFill="1" applyBorder="1" applyAlignment="1">
      <alignment/>
    </xf>
    <xf numFmtId="44" fontId="7" fillId="0" borderId="19" xfId="15" applyFont="1" applyBorder="1" applyAlignment="1">
      <alignment/>
    </xf>
    <xf numFmtId="44" fontId="8" fillId="0" borderId="0" xfId="15" applyFont="1" applyAlignment="1">
      <alignment/>
    </xf>
    <xf numFmtId="44" fontId="8" fillId="0" borderId="0" xfId="15" applyFont="1" applyAlignment="1">
      <alignment horizontal="right"/>
    </xf>
    <xf numFmtId="44" fontId="6" fillId="0" borderId="0" xfId="15" applyFont="1" applyAlignment="1">
      <alignment/>
    </xf>
    <xf numFmtId="0" fontId="7" fillId="0" borderId="0" xfId="0" applyFont="1" applyFill="1" applyAlignment="1">
      <alignment/>
    </xf>
    <xf numFmtId="44" fontId="9" fillId="2" borderId="20" xfId="15" applyFont="1" applyFill="1" applyBorder="1" applyAlignment="1">
      <alignment/>
    </xf>
    <xf numFmtId="44" fontId="8" fillId="2" borderId="20" xfId="15" applyFont="1" applyFill="1" applyBorder="1" applyAlignment="1">
      <alignment/>
    </xf>
    <xf numFmtId="44" fontId="7" fillId="0" borderId="0" xfId="15" applyFont="1" applyBorder="1" applyAlignment="1">
      <alignment/>
    </xf>
    <xf numFmtId="44" fontId="7" fillId="0" borderId="0" xfId="15" applyFont="1" applyFill="1" applyBorder="1" applyAlignment="1">
      <alignment/>
    </xf>
    <xf numFmtId="0" fontId="7" fillId="0" borderId="0" xfId="0" applyFont="1" applyFill="1" applyBorder="1" applyAlignment="1">
      <alignment/>
    </xf>
    <xf numFmtId="44" fontId="9" fillId="0" borderId="0" xfId="15" applyFont="1" applyAlignment="1">
      <alignment/>
    </xf>
    <xf numFmtId="44" fontId="8" fillId="2" borderId="15" xfId="15" applyFont="1" applyFill="1" applyBorder="1" applyAlignment="1">
      <alignment/>
    </xf>
    <xf numFmtId="44" fontId="7" fillId="2" borderId="20" xfId="15" applyFont="1" applyFill="1" applyBorder="1" applyAlignment="1">
      <alignment/>
    </xf>
    <xf numFmtId="0" fontId="7" fillId="0" borderId="0" xfId="0" applyFont="1" applyAlignment="1">
      <alignment vertical="distributed"/>
    </xf>
    <xf numFmtId="0" fontId="8" fillId="0" borderId="0" xfId="0" applyFont="1" applyFill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44" fontId="8" fillId="0" borderId="0" xfId="15" applyFont="1" applyFill="1" applyAlignment="1">
      <alignment horizontal="center"/>
    </xf>
    <xf numFmtId="0" fontId="6" fillId="0" borderId="22" xfId="0" applyFont="1" applyBorder="1" applyAlignment="1">
      <alignment/>
    </xf>
    <xf numFmtId="0" fontId="7" fillId="0" borderId="5" xfId="0" applyFont="1" applyBorder="1" applyAlignment="1">
      <alignment horizontal="left" indent="1"/>
    </xf>
    <xf numFmtId="0" fontId="6" fillId="0" borderId="4" xfId="0" applyFont="1" applyBorder="1" applyAlignment="1">
      <alignment/>
    </xf>
    <xf numFmtId="44" fontId="6" fillId="0" borderId="21" xfId="15" applyFont="1" applyBorder="1" applyAlignment="1">
      <alignment/>
    </xf>
    <xf numFmtId="44" fontId="7" fillId="0" borderId="0" xfId="15" applyFont="1" applyAlignment="1">
      <alignment/>
    </xf>
    <xf numFmtId="44" fontId="6" fillId="0" borderId="0" xfId="15" applyFont="1" applyAlignment="1">
      <alignment/>
    </xf>
    <xf numFmtId="0" fontId="7" fillId="0" borderId="4" xfId="0" applyFont="1" applyBorder="1" applyAlignment="1">
      <alignment horizontal="left" indent="1"/>
    </xf>
    <xf numFmtId="44" fontId="0" fillId="0" borderId="0" xfId="0" applyNumberFormat="1" applyAlignment="1">
      <alignment/>
    </xf>
    <xf numFmtId="0" fontId="0" fillId="0" borderId="0" xfId="0" applyAlignment="1">
      <alignment/>
    </xf>
    <xf numFmtId="44" fontId="7" fillId="0" borderId="0" xfId="0" applyNumberFormat="1" applyFont="1" applyAlignment="1">
      <alignment/>
    </xf>
    <xf numFmtId="0" fontId="8" fillId="2" borderId="6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8" fillId="2" borderId="0" xfId="0" applyFont="1" applyFill="1" applyAlignment="1">
      <alignment horizontal="center"/>
    </xf>
    <xf numFmtId="44" fontId="8" fillId="0" borderId="4" xfId="15" applyFont="1" applyFill="1" applyBorder="1" applyAlignment="1">
      <alignment horizontal="left" indent="6"/>
    </xf>
    <xf numFmtId="0" fontId="0" fillId="0" borderId="4" xfId="0" applyBorder="1" applyAlignment="1">
      <alignment horizontal="left" indent="6"/>
    </xf>
    <xf numFmtId="0" fontId="8" fillId="2" borderId="12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44" fontId="8" fillId="2" borderId="6" xfId="15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0" fillId="0" borderId="0" xfId="0" applyAlignment="1">
      <alignment horizontal="center"/>
    </xf>
    <xf numFmtId="0" fontId="8" fillId="0" borderId="4" xfId="0" applyFont="1" applyBorder="1" applyAlignment="1">
      <alignment horizontal="left" indent="7"/>
    </xf>
    <xf numFmtId="0" fontId="10" fillId="0" borderId="4" xfId="0" applyFont="1" applyBorder="1" applyAlignment="1">
      <alignment horizontal="left" indent="7"/>
    </xf>
    <xf numFmtId="44" fontId="1" fillId="0" borderId="5" xfId="15" applyFont="1" applyBorder="1" applyAlignment="1">
      <alignment/>
    </xf>
    <xf numFmtId="0" fontId="0" fillId="0" borderId="0" xfId="0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44" fontId="1" fillId="0" borderId="0" xfId="15" applyFont="1" applyAlignment="1">
      <alignment vertical="distributed"/>
    </xf>
    <xf numFmtId="44" fontId="1" fillId="0" borderId="5" xfId="15" applyFont="1" applyBorder="1" applyAlignment="1">
      <alignment vertical="distributed"/>
    </xf>
    <xf numFmtId="44" fontId="7" fillId="0" borderId="20" xfId="15" applyFont="1" applyBorder="1" applyAlignment="1">
      <alignment/>
    </xf>
    <xf numFmtId="44" fontId="7" fillId="0" borderId="15" xfId="15" applyFont="1" applyBorder="1" applyAlignment="1">
      <alignment/>
    </xf>
    <xf numFmtId="44" fontId="7" fillId="0" borderId="12" xfId="15" applyFont="1" applyBorder="1" applyAlignment="1">
      <alignment/>
    </xf>
    <xf numFmtId="44" fontId="7" fillId="0" borderId="8" xfId="15" applyFont="1" applyBorder="1" applyAlignment="1">
      <alignment/>
    </xf>
    <xf numFmtId="0" fontId="7" fillId="0" borderId="0" xfId="0" applyFont="1" applyFill="1" applyBorder="1" applyAlignment="1">
      <alignment horizontal="center"/>
    </xf>
    <xf numFmtId="44" fontId="8" fillId="0" borderId="0" xfId="15" applyFont="1" applyFill="1" applyBorder="1" applyAlignment="1">
      <alignment horizontal="right"/>
    </xf>
    <xf numFmtId="44" fontId="7" fillId="0" borderId="0" xfId="15" applyFont="1" applyFill="1" applyAlignment="1">
      <alignment/>
    </xf>
    <xf numFmtId="0" fontId="0" fillId="0" borderId="0" xfId="0" applyAlignment="1">
      <alignment vertical="distributed" shrinkToFit="1"/>
    </xf>
    <xf numFmtId="49" fontId="7" fillId="0" borderId="0" xfId="15" applyNumberFormat="1" applyFont="1" applyAlignment="1">
      <alignment vertical="distributed" shrinkToFit="1"/>
    </xf>
    <xf numFmtId="49" fontId="0" fillId="0" borderId="0" xfId="0" applyNumberFormat="1" applyAlignment="1">
      <alignment vertical="distributed" shrinkToFit="1"/>
    </xf>
    <xf numFmtId="44" fontId="7" fillId="0" borderId="0" xfId="0" applyNumberFormat="1" applyFont="1" applyFill="1" applyAlignment="1">
      <alignment/>
    </xf>
    <xf numFmtId="44" fontId="7" fillId="2" borderId="13" xfId="15" applyFont="1" applyFill="1" applyBorder="1" applyAlignment="1">
      <alignment/>
    </xf>
    <xf numFmtId="44" fontId="7" fillId="2" borderId="8" xfId="0" applyNumberFormat="1" applyFont="1" applyFill="1" applyBorder="1" applyAlignment="1">
      <alignment/>
    </xf>
    <xf numFmtId="44" fontId="0" fillId="2" borderId="16" xfId="0" applyNumberFormat="1" applyFill="1" applyBorder="1" applyAlignment="1">
      <alignment/>
    </xf>
    <xf numFmtId="44" fontId="7" fillId="2" borderId="14" xfId="15" applyFont="1" applyFill="1" applyBorder="1" applyAlignment="1">
      <alignment/>
    </xf>
    <xf numFmtId="44" fontId="7" fillId="2" borderId="0" xfId="0" applyNumberFormat="1" applyFont="1" applyFill="1" applyBorder="1" applyAlignment="1">
      <alignment/>
    </xf>
    <xf numFmtId="44" fontId="0" fillId="2" borderId="17" xfId="0" applyNumberForma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17" xfId="0" applyFill="1" applyBorder="1" applyAlignment="1">
      <alignment/>
    </xf>
    <xf numFmtId="44" fontId="7" fillId="2" borderId="23" xfId="15" applyFont="1" applyFill="1" applyBorder="1" applyAlignment="1">
      <alignment/>
    </xf>
    <xf numFmtId="44" fontId="7" fillId="2" borderId="6" xfId="0" applyNumberFormat="1" applyFont="1" applyFill="1" applyBorder="1" applyAlignment="1">
      <alignment/>
    </xf>
    <xf numFmtId="44" fontId="7" fillId="2" borderId="24" xfId="15" applyFont="1" applyFill="1" applyBorder="1" applyAlignment="1">
      <alignment/>
    </xf>
  </cellXfs>
  <cellStyles count="9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H15" sqref="H15"/>
    </sheetView>
  </sheetViews>
  <sheetFormatPr defaultColWidth="9.140625" defaultRowHeight="12.75"/>
  <cols>
    <col min="1" max="1" width="19.8515625" style="26" bestFit="1" customWidth="1"/>
    <col min="2" max="2" width="9.140625" style="26" customWidth="1"/>
    <col min="3" max="3" width="11.8515625" style="27" bestFit="1" customWidth="1"/>
    <col min="4" max="5" width="9.140625" style="26" customWidth="1"/>
    <col min="6" max="6" width="25.140625" style="26" bestFit="1" customWidth="1"/>
    <col min="7" max="7" width="9.140625" style="26" customWidth="1"/>
    <col min="8" max="8" width="11.8515625" style="26" bestFit="1" customWidth="1"/>
    <col min="9" max="16384" width="9.140625" style="26" customWidth="1"/>
  </cols>
  <sheetData>
    <row r="1" spans="1:8" ht="14.25" thickBot="1">
      <c r="A1" s="97" t="s">
        <v>8</v>
      </c>
      <c r="B1" s="98"/>
      <c r="C1" s="98"/>
      <c r="F1" s="31" t="s">
        <v>63</v>
      </c>
      <c r="G1" s="32"/>
      <c r="H1" s="33"/>
    </row>
    <row r="2" spans="1:8" ht="13.5">
      <c r="A2" s="25" t="s">
        <v>62</v>
      </c>
      <c r="F2" s="26" t="s">
        <v>64</v>
      </c>
      <c r="H2" s="27">
        <f>C13</f>
        <v>12403.57</v>
      </c>
    </row>
    <row r="3" spans="1:8" ht="13.5">
      <c r="A3" s="28" t="s">
        <v>9</v>
      </c>
      <c r="C3" s="27">
        <v>0</v>
      </c>
      <c r="F3" s="26" t="s">
        <v>65</v>
      </c>
      <c r="H3" s="34">
        <v>18000</v>
      </c>
    </row>
    <row r="4" spans="1:8" ht="13.5">
      <c r="A4" s="28" t="s">
        <v>2</v>
      </c>
      <c r="C4" s="27">
        <v>9653</v>
      </c>
      <c r="H4" s="27"/>
    </row>
    <row r="5" spans="1:8" ht="13.5">
      <c r="A5" s="28" t="s">
        <v>6</v>
      </c>
      <c r="C5" s="27">
        <f>350</f>
        <v>350</v>
      </c>
      <c r="F5" s="26" t="s">
        <v>66</v>
      </c>
      <c r="H5" s="27">
        <f>H3-H2</f>
        <v>5596.43</v>
      </c>
    </row>
    <row r="6" spans="1:8" ht="14.25" thickBot="1">
      <c r="A6" s="28"/>
      <c r="F6" s="35"/>
      <c r="G6" s="35"/>
      <c r="H6" s="36"/>
    </row>
    <row r="7" ht="13.5">
      <c r="A7" s="25" t="s">
        <v>35</v>
      </c>
    </row>
    <row r="8" spans="1:3" ht="13.5">
      <c r="A8" s="28" t="s">
        <v>60</v>
      </c>
      <c r="C8" s="27">
        <f>SUM(C4:C6)*0.19</f>
        <v>1900.57</v>
      </c>
    </row>
    <row r="9" ht="13.5">
      <c r="A9" s="28"/>
    </row>
    <row r="10" ht="13.5">
      <c r="A10" s="29" t="s">
        <v>5</v>
      </c>
    </row>
    <row r="11" spans="1:3" ht="13.5">
      <c r="A11" s="28" t="s">
        <v>34</v>
      </c>
      <c r="C11" s="27">
        <v>500</v>
      </c>
    </row>
    <row r="12" ht="14.25" thickBot="1">
      <c r="C12" s="30"/>
    </row>
    <row r="13" spans="1:3" ht="14.25" thickTop="1">
      <c r="A13" s="26" t="s">
        <v>10</v>
      </c>
      <c r="C13" s="27">
        <f>SUM(C3:C12)</f>
        <v>12403.57</v>
      </c>
    </row>
    <row r="14" spans="1:3" ht="14.25" thickBot="1">
      <c r="A14" s="35"/>
      <c r="B14" s="35"/>
      <c r="C14" s="36"/>
    </row>
  </sheetData>
  <mergeCells count="1">
    <mergeCell ref="A1:C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26" sqref="E26"/>
    </sheetView>
  </sheetViews>
  <sheetFormatPr defaultColWidth="9.140625" defaultRowHeight="12.75"/>
  <cols>
    <col min="1" max="1" width="15.140625" style="0" bestFit="1" customWidth="1"/>
    <col min="3" max="3" width="10.57421875" style="0" bestFit="1" customWidth="1"/>
    <col min="4" max="4" width="30.7109375" style="0" bestFit="1" customWidth="1"/>
    <col min="5" max="5" width="10.57421875" style="0" bestFit="1" customWidth="1"/>
  </cols>
  <sheetData>
    <row r="1" spans="1:5" ht="14.25">
      <c r="A1" s="99" t="s">
        <v>99</v>
      </c>
      <c r="B1" s="110"/>
      <c r="C1" s="110"/>
      <c r="D1" s="110"/>
      <c r="E1" s="110"/>
    </row>
    <row r="2" spans="1:5" ht="14.25">
      <c r="A2" s="80"/>
      <c r="B2" s="80"/>
      <c r="C2" s="86"/>
      <c r="D2" s="80"/>
      <c r="E2" s="86"/>
    </row>
    <row r="3" spans="1:5" ht="14.25">
      <c r="A3" s="89" t="s">
        <v>0</v>
      </c>
      <c r="B3" s="111" t="s">
        <v>119</v>
      </c>
      <c r="C3" s="112"/>
      <c r="D3" s="112"/>
      <c r="E3" s="69" t="s">
        <v>1</v>
      </c>
    </row>
    <row r="4" spans="1:5" ht="14.25">
      <c r="A4" s="83" t="s">
        <v>7</v>
      </c>
      <c r="B4" s="26"/>
      <c r="C4" s="27"/>
      <c r="D4" s="87" t="s">
        <v>95</v>
      </c>
      <c r="E4" s="90"/>
    </row>
    <row r="5" spans="1:5" ht="14.25">
      <c r="A5" s="28" t="s">
        <v>2</v>
      </c>
      <c r="B5" s="82"/>
      <c r="C5" s="27">
        <f>'Balans 1 Juni'!C5-Resultatenrekening!P17</f>
        <v>8498.203611111114</v>
      </c>
      <c r="D5" s="88" t="s">
        <v>70</v>
      </c>
      <c r="E5" s="91">
        <v>18000</v>
      </c>
    </row>
    <row r="6" spans="1:5" ht="14.25">
      <c r="A6" s="28" t="s">
        <v>6</v>
      </c>
      <c r="B6" s="26"/>
      <c r="C6" s="27">
        <v>350</v>
      </c>
      <c r="D6" s="88" t="s">
        <v>53</v>
      </c>
      <c r="E6" s="91">
        <f>Resultatenrekening!P25</f>
        <v>8326.173673611112</v>
      </c>
    </row>
    <row r="7" spans="1:5" ht="14.25">
      <c r="A7" s="28" t="s">
        <v>61</v>
      </c>
      <c r="B7" s="26"/>
      <c r="C7" s="27">
        <f>'Balans 1 Juni'!C7-Resultatenrekening!P18</f>
        <v>611.903076923077</v>
      </c>
      <c r="D7" s="81"/>
      <c r="E7" s="91"/>
    </row>
    <row r="8" spans="1:5" ht="14.25">
      <c r="A8" s="26"/>
      <c r="B8" s="26"/>
      <c r="C8" s="27"/>
      <c r="D8" s="81"/>
      <c r="E8" s="91"/>
    </row>
    <row r="9" spans="1:5" ht="14.25">
      <c r="A9" s="84" t="s">
        <v>35</v>
      </c>
      <c r="B9" s="26"/>
      <c r="C9" s="27"/>
      <c r="D9" s="85" t="s">
        <v>96</v>
      </c>
      <c r="E9" s="92"/>
    </row>
    <row r="10" spans="1:5" ht="14.25">
      <c r="A10" s="28" t="s">
        <v>60</v>
      </c>
      <c r="B10" s="26"/>
      <c r="C10" s="27">
        <f>Liquiditeitsrekening!H28</f>
        <v>3517.9259999999995</v>
      </c>
      <c r="D10" s="81"/>
      <c r="E10" s="91"/>
    </row>
    <row r="11" spans="1:5" ht="14.25">
      <c r="A11" s="26"/>
      <c r="B11" s="82"/>
      <c r="C11" s="27"/>
      <c r="D11" s="51"/>
      <c r="E11" s="27"/>
    </row>
    <row r="12" spans="1:5" ht="14.25">
      <c r="A12" s="84" t="s">
        <v>5</v>
      </c>
      <c r="B12" s="82"/>
      <c r="C12" s="27"/>
      <c r="D12" s="81" t="s">
        <v>97</v>
      </c>
      <c r="E12" s="91"/>
    </row>
    <row r="13" spans="1:5" ht="14.25">
      <c r="A13" s="28" t="s">
        <v>44</v>
      </c>
      <c r="B13" s="26"/>
      <c r="C13" s="27">
        <f>Liquiditeitsrekening!I23</f>
        <v>54512.066</v>
      </c>
      <c r="D13" s="88" t="s">
        <v>101</v>
      </c>
      <c r="E13" s="91">
        <f>Resultatenrekening!P26</f>
        <v>15744.233014423076</v>
      </c>
    </row>
    <row r="14" spans="1:5" ht="14.25">
      <c r="A14" s="28" t="s">
        <v>34</v>
      </c>
      <c r="B14" s="26"/>
      <c r="C14" s="27">
        <v>500</v>
      </c>
      <c r="D14" s="88" t="s">
        <v>98</v>
      </c>
      <c r="E14" s="91">
        <f>Liquiditeitsrekening!H27</f>
        <v>21919.692000000003</v>
      </c>
    </row>
    <row r="15" spans="1:5" ht="14.25">
      <c r="A15" s="47"/>
      <c r="B15" s="47"/>
      <c r="C15" s="48"/>
      <c r="D15" s="93" t="s">
        <v>111</v>
      </c>
      <c r="E15" s="34">
        <v>4000</v>
      </c>
    </row>
    <row r="16" spans="1:5" ht="14.25">
      <c r="A16" s="26"/>
      <c r="B16" s="26"/>
      <c r="C16" s="27">
        <f>SUM(C5:C15)</f>
        <v>67990.0986880342</v>
      </c>
      <c r="D16" s="26"/>
      <c r="E16" s="27">
        <f>SUM(E5:E15)</f>
        <v>67990.0986880342</v>
      </c>
    </row>
  </sheetData>
  <mergeCells count="2">
    <mergeCell ref="A1:E1"/>
    <mergeCell ref="B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30" sqref="D30"/>
    </sheetView>
  </sheetViews>
  <sheetFormatPr defaultColWidth="9.140625" defaultRowHeight="12.75"/>
  <cols>
    <col min="1" max="1" width="15.140625" style="0" bestFit="1" customWidth="1"/>
    <col min="3" max="3" width="10.57421875" style="0" bestFit="1" customWidth="1"/>
    <col min="4" max="4" width="30.7109375" style="0" bestFit="1" customWidth="1"/>
    <col min="5" max="5" width="10.57421875" style="0" bestFit="1" customWidth="1"/>
  </cols>
  <sheetData>
    <row r="1" spans="1:5" ht="14.25">
      <c r="A1" s="99" t="s">
        <v>99</v>
      </c>
      <c r="B1" s="110"/>
      <c r="C1" s="110"/>
      <c r="D1" s="110"/>
      <c r="E1" s="110"/>
    </row>
    <row r="2" spans="1:5" ht="14.25">
      <c r="A2" s="80"/>
      <c r="B2" s="80"/>
      <c r="C2" s="86"/>
      <c r="D2" s="80"/>
      <c r="E2" s="86"/>
    </row>
    <row r="3" spans="1:5" ht="14.25">
      <c r="A3" s="89" t="s">
        <v>0</v>
      </c>
      <c r="B3" s="111" t="s">
        <v>119</v>
      </c>
      <c r="C3" s="112"/>
      <c r="D3" s="112"/>
      <c r="E3" s="69" t="s">
        <v>1</v>
      </c>
    </row>
    <row r="4" spans="1:5" ht="14.25">
      <c r="A4" s="83" t="s">
        <v>7</v>
      </c>
      <c r="B4" s="26"/>
      <c r="C4" s="27"/>
      <c r="D4" s="87" t="s">
        <v>95</v>
      </c>
      <c r="E4" s="90"/>
    </row>
    <row r="5" spans="1:5" ht="14.25">
      <c r="A5" s="28" t="s">
        <v>2</v>
      </c>
      <c r="B5" s="82"/>
      <c r="C5" s="27">
        <f>'Balans 1 Juli'!C5-Resultatenrekening!R17</f>
        <v>8305.738333333336</v>
      </c>
      <c r="D5" s="88" t="s">
        <v>70</v>
      </c>
      <c r="E5" s="91">
        <v>18000</v>
      </c>
    </row>
    <row r="6" spans="1:5" ht="14.25">
      <c r="A6" s="28" t="s">
        <v>6</v>
      </c>
      <c r="B6" s="26"/>
      <c r="C6" s="27">
        <v>350</v>
      </c>
      <c r="D6" s="88" t="s">
        <v>53</v>
      </c>
      <c r="E6" s="91">
        <f>Resultatenrekening!U24</f>
        <v>0</v>
      </c>
    </row>
    <row r="7" spans="1:5" ht="14.25">
      <c r="A7" s="28" t="s">
        <v>61</v>
      </c>
      <c r="B7" s="26"/>
      <c r="C7" s="27">
        <f>'Balans 1 Juli'!C7-Resultatenrekening!R18</f>
        <v>524.4876923076924</v>
      </c>
      <c r="D7" s="81"/>
      <c r="E7" s="91"/>
    </row>
    <row r="8" spans="1:5" ht="14.25">
      <c r="A8" s="26"/>
      <c r="B8" s="26"/>
      <c r="C8" s="27"/>
      <c r="D8" s="81"/>
      <c r="E8" s="91"/>
    </row>
    <row r="9" spans="1:5" ht="14.25">
      <c r="A9" s="84" t="s">
        <v>35</v>
      </c>
      <c r="B9" s="26"/>
      <c r="C9" s="27"/>
      <c r="D9" s="85" t="s">
        <v>96</v>
      </c>
      <c r="E9" s="92"/>
    </row>
    <row r="10" spans="1:5" ht="14.25">
      <c r="A10" s="28" t="s">
        <v>60</v>
      </c>
      <c r="B10" s="26"/>
      <c r="C10" s="27">
        <f>Liquiditeitsrekening!I28</f>
        <v>3745.1659999999993</v>
      </c>
      <c r="D10" s="81"/>
      <c r="E10" s="91"/>
    </row>
    <row r="11" spans="1:5" ht="14.25">
      <c r="A11" s="26"/>
      <c r="B11" s="82"/>
      <c r="C11" s="27"/>
      <c r="D11" s="51"/>
      <c r="E11" s="27"/>
    </row>
    <row r="12" spans="1:5" ht="14.25">
      <c r="A12" s="84" t="s">
        <v>5</v>
      </c>
      <c r="B12" s="82"/>
      <c r="C12" s="27"/>
      <c r="D12" s="81" t="s">
        <v>97</v>
      </c>
      <c r="E12" s="91"/>
    </row>
    <row r="13" spans="1:5" ht="14.25">
      <c r="A13" s="28" t="s">
        <v>44</v>
      </c>
      <c r="B13" s="26"/>
      <c r="C13" s="27">
        <f>Liquiditeitsrekening!I25</f>
        <v>56903.29266666667</v>
      </c>
      <c r="D13" s="88" t="s">
        <v>101</v>
      </c>
      <c r="E13" s="91">
        <f>Resultatenrekening!U22</f>
        <v>0</v>
      </c>
    </row>
    <row r="14" spans="1:5" ht="14.25">
      <c r="A14" s="28" t="s">
        <v>34</v>
      </c>
      <c r="B14" s="26"/>
      <c r="C14" s="27">
        <v>500</v>
      </c>
      <c r="D14" s="88" t="s">
        <v>98</v>
      </c>
      <c r="E14" s="91">
        <f>Liquiditeitsrekening!I27</f>
        <v>25374.52533333334</v>
      </c>
    </row>
    <row r="15" spans="1:5" ht="14.25">
      <c r="A15" s="47"/>
      <c r="B15" s="47"/>
      <c r="C15" s="48"/>
      <c r="D15" s="93" t="s">
        <v>111</v>
      </c>
      <c r="E15" s="34">
        <v>0</v>
      </c>
    </row>
    <row r="16" spans="1:5" ht="14.25">
      <c r="A16" s="26"/>
      <c r="B16" s="26"/>
      <c r="C16" s="27">
        <f>SUM(C5:C15)</f>
        <v>70328.6846923077</v>
      </c>
      <c r="D16" s="26"/>
      <c r="E16" s="27">
        <f>SUM(E5:E15)</f>
        <v>43374.52533333334</v>
      </c>
    </row>
  </sheetData>
  <mergeCells count="2">
    <mergeCell ref="A1:E1"/>
    <mergeCell ref="B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6">
      <selection activeCell="D33" sqref="D33:K34"/>
    </sheetView>
  </sheetViews>
  <sheetFormatPr defaultColWidth="9.140625" defaultRowHeight="12.75"/>
  <cols>
    <col min="1" max="1" width="26.8515625" style="4" bestFit="1" customWidth="1"/>
    <col min="2" max="2" width="11.7109375" style="5" bestFit="1" customWidth="1"/>
    <col min="3" max="3" width="11.8515625" style="5" bestFit="1" customWidth="1"/>
    <col min="4" max="16" width="9.140625" style="4" customWidth="1"/>
    <col min="17" max="17" width="11.8515625" style="5" bestFit="1" customWidth="1"/>
    <col min="18" max="18" width="9.140625" style="4" customWidth="1"/>
    <col min="19" max="19" width="10.8515625" style="5" bestFit="1" customWidth="1"/>
    <col min="20" max="20" width="9.28125" style="4" bestFit="1" customWidth="1"/>
    <col min="21" max="16384" width="9.140625" style="4" customWidth="1"/>
  </cols>
  <sheetData>
    <row r="1" spans="1:19" s="10" customFormat="1" ht="12" thickBot="1">
      <c r="A1" s="6" t="s">
        <v>27</v>
      </c>
      <c r="B1" s="7"/>
      <c r="C1" s="8"/>
      <c r="D1" s="6" t="s">
        <v>21</v>
      </c>
      <c r="E1" s="9"/>
      <c r="F1" s="9"/>
      <c r="G1" s="9"/>
      <c r="H1" s="9"/>
      <c r="I1" s="9"/>
      <c r="J1" s="9"/>
      <c r="K1" s="9"/>
      <c r="Q1" s="11"/>
      <c r="S1" s="11"/>
    </row>
    <row r="2" spans="1:3" ht="11.25">
      <c r="A2" s="2" t="s">
        <v>16</v>
      </c>
      <c r="C2" s="3">
        <v>800</v>
      </c>
    </row>
    <row r="3" spans="1:3" ht="11.25">
      <c r="A3" s="2" t="s">
        <v>12</v>
      </c>
      <c r="C3" s="3"/>
    </row>
    <row r="4" spans="1:20" ht="11.25">
      <c r="A4" s="12" t="s">
        <v>17</v>
      </c>
      <c r="B4" s="5">
        <v>2090</v>
      </c>
      <c r="C4" s="3"/>
      <c r="T4" s="5"/>
    </row>
    <row r="5" spans="1:20" ht="11.25">
      <c r="A5" s="12" t="s">
        <v>3</v>
      </c>
      <c r="B5" s="5">
        <v>1900</v>
      </c>
      <c r="C5" s="3"/>
      <c r="T5" s="5"/>
    </row>
    <row r="6" spans="1:20" ht="11.25">
      <c r="A6" s="12" t="s">
        <v>4</v>
      </c>
      <c r="B6" s="5">
        <v>1900</v>
      </c>
      <c r="C6" s="3"/>
      <c r="T6" s="5"/>
    </row>
    <row r="7" spans="1:20" ht="11.25">
      <c r="A7" s="12" t="s">
        <v>18</v>
      </c>
      <c r="B7" s="5">
        <v>1900</v>
      </c>
      <c r="C7" s="3"/>
      <c r="T7" s="5"/>
    </row>
    <row r="8" spans="1:11" ht="11.25">
      <c r="A8" s="12" t="s">
        <v>19</v>
      </c>
      <c r="B8" s="5">
        <v>1900</v>
      </c>
      <c r="C8" s="3"/>
      <c r="D8" s="115" t="s">
        <v>22</v>
      </c>
      <c r="E8" s="116"/>
      <c r="F8" s="116"/>
      <c r="G8" s="116"/>
      <c r="H8" s="116"/>
      <c r="I8" s="116"/>
      <c r="J8" s="116"/>
      <c r="K8" s="116"/>
    </row>
    <row r="9" spans="1:11" ht="11.25">
      <c r="A9" s="12" t="s">
        <v>20</v>
      </c>
      <c r="B9" s="13">
        <v>1900</v>
      </c>
      <c r="C9" s="3"/>
      <c r="D9" s="115" t="s">
        <v>22</v>
      </c>
      <c r="E9" s="116"/>
      <c r="F9" s="116"/>
      <c r="G9" s="116"/>
      <c r="H9" s="116"/>
      <c r="I9" s="116"/>
      <c r="J9" s="116"/>
      <c r="K9" s="116"/>
    </row>
    <row r="10" spans="1:3" ht="11.25">
      <c r="A10" s="12"/>
      <c r="C10" s="3">
        <f>SUM(B4:B9)</f>
        <v>11590</v>
      </c>
    </row>
    <row r="11" spans="1:3" ht="11.25">
      <c r="A11" s="12"/>
      <c r="C11" s="3"/>
    </row>
    <row r="12" spans="1:11" ht="11.25">
      <c r="A12" s="2" t="s">
        <v>13</v>
      </c>
      <c r="C12" s="3">
        <v>2000</v>
      </c>
      <c r="D12" s="115" t="s">
        <v>102</v>
      </c>
      <c r="E12" s="116"/>
      <c r="F12" s="116"/>
      <c r="G12" s="116"/>
      <c r="H12" s="116"/>
      <c r="I12" s="116"/>
      <c r="J12" s="116"/>
      <c r="K12" s="116"/>
    </row>
    <row r="13" spans="1:3" ht="11.25">
      <c r="A13" s="2"/>
      <c r="C13" s="3"/>
    </row>
    <row r="14" spans="1:11" ht="11.25">
      <c r="A14" s="2" t="s">
        <v>15</v>
      </c>
      <c r="C14" s="3">
        <f>162.32*100/119</f>
        <v>136.4033613445378</v>
      </c>
      <c r="D14" s="117" t="s">
        <v>29</v>
      </c>
      <c r="E14" s="118"/>
      <c r="F14" s="118"/>
      <c r="G14" s="118"/>
      <c r="H14" s="118"/>
      <c r="I14" s="118"/>
      <c r="J14" s="118"/>
      <c r="K14" s="118"/>
    </row>
    <row r="15" spans="1:11" ht="11.25">
      <c r="A15" s="2"/>
      <c r="C15" s="3"/>
      <c r="D15" s="117"/>
      <c r="E15" s="118"/>
      <c r="F15" s="118"/>
      <c r="G15" s="118"/>
      <c r="H15" s="118"/>
      <c r="I15" s="118"/>
      <c r="J15" s="118"/>
      <c r="K15" s="118"/>
    </row>
    <row r="16" spans="1:11" ht="11.25">
      <c r="A16" s="2" t="s">
        <v>30</v>
      </c>
      <c r="C16" s="3">
        <v>1000</v>
      </c>
      <c r="D16" s="117" t="s">
        <v>31</v>
      </c>
      <c r="E16" s="118"/>
      <c r="F16" s="118"/>
      <c r="G16" s="118"/>
      <c r="H16" s="118"/>
      <c r="I16" s="118"/>
      <c r="J16" s="118"/>
      <c r="K16" s="118"/>
    </row>
    <row r="17" spans="1:11" ht="11.25">
      <c r="A17" s="2"/>
      <c r="C17" s="3"/>
      <c r="D17" s="117"/>
      <c r="E17" s="118"/>
      <c r="F17" s="118"/>
      <c r="G17" s="118"/>
      <c r="H17" s="118"/>
      <c r="I17" s="118"/>
      <c r="J17" s="118"/>
      <c r="K17" s="118"/>
    </row>
    <row r="18" spans="1:11" ht="11.25">
      <c r="A18" s="2" t="s">
        <v>36</v>
      </c>
      <c r="C18" s="3"/>
      <c r="D18" s="15"/>
      <c r="E18" s="14"/>
      <c r="F18" s="14"/>
      <c r="G18" s="14"/>
      <c r="H18" s="14"/>
      <c r="I18" s="14"/>
      <c r="J18" s="14"/>
      <c r="K18" s="14"/>
    </row>
    <row r="19" spans="1:11" ht="11.25">
      <c r="A19" s="12" t="s">
        <v>42</v>
      </c>
      <c r="B19" s="11">
        <v>67</v>
      </c>
      <c r="C19" s="3"/>
      <c r="D19" s="117" t="s">
        <v>113</v>
      </c>
      <c r="E19" s="118"/>
      <c r="F19" s="118"/>
      <c r="G19" s="118"/>
      <c r="H19" s="118"/>
      <c r="I19" s="118"/>
      <c r="J19" s="118"/>
      <c r="K19" s="118"/>
    </row>
    <row r="20" spans="1:11" ht="11.25">
      <c r="A20" s="12" t="s">
        <v>41</v>
      </c>
      <c r="B20" s="13">
        <v>485</v>
      </c>
      <c r="C20" s="3"/>
      <c r="D20" s="117"/>
      <c r="E20" s="118"/>
      <c r="F20" s="118"/>
      <c r="G20" s="118"/>
      <c r="H20" s="118"/>
      <c r="I20" s="118"/>
      <c r="J20" s="118"/>
      <c r="K20" s="118"/>
    </row>
    <row r="21" spans="1:11" ht="11.25">
      <c r="A21" s="2"/>
      <c r="C21" s="3">
        <f>SUM(B19:B20)</f>
        <v>552</v>
      </c>
      <c r="D21" s="15"/>
      <c r="E21" s="14"/>
      <c r="F21" s="14"/>
      <c r="G21" s="14"/>
      <c r="H21" s="14"/>
      <c r="I21" s="14"/>
      <c r="J21" s="14"/>
      <c r="K21" s="14"/>
    </row>
    <row r="22" spans="1:3" ht="11.25">
      <c r="A22" s="2" t="s">
        <v>105</v>
      </c>
      <c r="C22" s="3"/>
    </row>
    <row r="23" spans="1:11" ht="12.75">
      <c r="A23" s="12" t="s">
        <v>23</v>
      </c>
      <c r="B23" s="5">
        <f>6400/5/12</f>
        <v>106.66666666666667</v>
      </c>
      <c r="C23" s="3"/>
      <c r="D23" s="113" t="s">
        <v>43</v>
      </c>
      <c r="E23" s="114"/>
      <c r="F23" s="114"/>
      <c r="G23" s="114"/>
      <c r="H23" s="114"/>
      <c r="I23" s="114"/>
      <c r="J23" s="114"/>
      <c r="K23" s="114"/>
    </row>
    <row r="24" spans="1:11" ht="12.75">
      <c r="A24" s="12" t="s">
        <v>24</v>
      </c>
      <c r="B24" s="5">
        <f>4*649/3/12</f>
        <v>72.11111111111111</v>
      </c>
      <c r="C24" s="16"/>
      <c r="D24" s="113" t="s">
        <v>26</v>
      </c>
      <c r="E24" s="114"/>
      <c r="F24" s="114"/>
      <c r="G24" s="114"/>
      <c r="H24" s="114"/>
      <c r="I24" s="114"/>
      <c r="J24" s="114"/>
      <c r="K24" s="114"/>
    </row>
    <row r="25" spans="1:11" ht="12.75">
      <c r="A25" s="12" t="s">
        <v>25</v>
      </c>
      <c r="B25" s="13">
        <f>657/4/12</f>
        <v>13.6875</v>
      </c>
      <c r="C25" s="16"/>
      <c r="D25" s="113" t="s">
        <v>93</v>
      </c>
      <c r="E25" s="114"/>
      <c r="F25" s="114"/>
      <c r="G25" s="114"/>
      <c r="H25" s="114"/>
      <c r="I25" s="114"/>
      <c r="J25" s="114"/>
      <c r="K25" s="114"/>
    </row>
    <row r="26" spans="1:3" ht="11.25">
      <c r="A26" s="2"/>
      <c r="C26" s="3">
        <f>SUM(B23:B25)</f>
        <v>192.46527777777777</v>
      </c>
    </row>
    <row r="27" spans="1:3" ht="11.25">
      <c r="A27" s="2"/>
      <c r="C27" s="3"/>
    </row>
    <row r="28" spans="1:3" ht="11.25">
      <c r="A28" s="2" t="s">
        <v>106</v>
      </c>
      <c r="C28" s="3"/>
    </row>
    <row r="29" spans="1:4" ht="11.25">
      <c r="A29" s="12" t="s">
        <v>107</v>
      </c>
      <c r="B29" s="5">
        <f>1000/13</f>
        <v>76.92307692307692</v>
      </c>
      <c r="C29" s="3"/>
      <c r="D29" s="4" t="s">
        <v>109</v>
      </c>
    </row>
    <row r="30" spans="1:4" ht="11.25">
      <c r="A30" s="12" t="s">
        <v>108</v>
      </c>
      <c r="B30" s="5">
        <f>136.4/13</f>
        <v>10.492307692307692</v>
      </c>
      <c r="C30" s="3"/>
      <c r="D30" s="4" t="s">
        <v>110</v>
      </c>
    </row>
    <row r="31" spans="1:3" ht="11.25">
      <c r="A31" s="12"/>
      <c r="C31" s="3">
        <f>SUM(B29:B30)</f>
        <v>87.41538461538461</v>
      </c>
    </row>
    <row r="32" spans="1:3" ht="11.25">
      <c r="A32" s="12"/>
      <c r="C32" s="3"/>
    </row>
    <row r="33" spans="1:11" ht="11.25">
      <c r="A33" s="2" t="s">
        <v>46</v>
      </c>
      <c r="C33" s="3">
        <v>350</v>
      </c>
      <c r="D33" s="120" t="s">
        <v>47</v>
      </c>
      <c r="E33" s="118"/>
      <c r="F33" s="118"/>
      <c r="G33" s="118"/>
      <c r="H33" s="118"/>
      <c r="I33" s="118"/>
      <c r="J33" s="118"/>
      <c r="K33" s="118"/>
    </row>
    <row r="34" spans="1:11" ht="11.25">
      <c r="A34" s="2"/>
      <c r="C34" s="3"/>
      <c r="D34" s="117"/>
      <c r="E34" s="118"/>
      <c r="F34" s="118"/>
      <c r="G34" s="118"/>
      <c r="H34" s="118"/>
      <c r="I34" s="118"/>
      <c r="J34" s="118"/>
      <c r="K34" s="118"/>
    </row>
    <row r="35" spans="1:11" ht="12.75">
      <c r="A35" s="2"/>
      <c r="C35" s="3"/>
      <c r="D35" s="113" t="s">
        <v>54</v>
      </c>
      <c r="E35" s="114"/>
      <c r="F35" s="114"/>
      <c r="G35" s="114"/>
      <c r="H35" s="114"/>
      <c r="I35" s="114"/>
      <c r="J35" s="114"/>
      <c r="K35" s="114"/>
    </row>
    <row r="36" spans="1:11" ht="11.25">
      <c r="A36" s="2"/>
      <c r="C36" s="3"/>
      <c r="D36" s="18"/>
      <c r="E36" s="17"/>
      <c r="F36" s="17"/>
      <c r="G36" s="17"/>
      <c r="H36" s="17"/>
      <c r="I36" s="17"/>
      <c r="J36" s="17"/>
      <c r="K36" s="17"/>
    </row>
    <row r="37" spans="1:11" ht="12.75">
      <c r="A37" s="2" t="s">
        <v>14</v>
      </c>
      <c r="C37" s="3">
        <v>200</v>
      </c>
      <c r="D37" s="113" t="s">
        <v>28</v>
      </c>
      <c r="E37" s="114"/>
      <c r="F37" s="114"/>
      <c r="G37" s="114"/>
      <c r="H37" s="114"/>
      <c r="I37" s="114"/>
      <c r="J37" s="114"/>
      <c r="K37" s="114"/>
    </row>
    <row r="38" spans="1:4" ht="11.25">
      <c r="A38" s="2"/>
      <c r="C38" s="3"/>
      <c r="D38" s="5"/>
    </row>
    <row r="39" spans="1:11" ht="11.25">
      <c r="A39" s="24" t="s">
        <v>92</v>
      </c>
      <c r="C39" s="3"/>
      <c r="D39" s="119" t="s">
        <v>32</v>
      </c>
      <c r="E39" s="118"/>
      <c r="F39" s="118"/>
      <c r="G39" s="118"/>
      <c r="H39" s="118"/>
      <c r="I39" s="118"/>
      <c r="J39" s="118"/>
      <c r="K39" s="118"/>
    </row>
    <row r="40" spans="1:11" ht="11.25">
      <c r="A40" s="24"/>
      <c r="C40" s="3"/>
      <c r="D40" s="118"/>
      <c r="E40" s="118"/>
      <c r="F40" s="118"/>
      <c r="G40" s="118"/>
      <c r="H40" s="118"/>
      <c r="I40" s="118"/>
      <c r="J40" s="118"/>
      <c r="K40" s="118"/>
    </row>
    <row r="41" spans="1:11" ht="11.25">
      <c r="A41" s="24"/>
      <c r="C41" s="3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24"/>
      <c r="C42" s="3"/>
      <c r="D42" s="115" t="s">
        <v>94</v>
      </c>
      <c r="E42" s="114"/>
      <c r="F42" s="114"/>
      <c r="G42" s="114"/>
      <c r="H42" s="114"/>
      <c r="I42" s="114"/>
      <c r="J42" s="114"/>
      <c r="K42" s="114"/>
    </row>
    <row r="43" spans="1:11" ht="12" thickBot="1">
      <c r="A43" s="19"/>
      <c r="B43" s="20"/>
      <c r="C43" s="21"/>
      <c r="E43" s="19"/>
      <c r="F43" s="19"/>
      <c r="G43" s="19"/>
      <c r="H43" s="19"/>
      <c r="I43" s="19"/>
      <c r="J43" s="19"/>
      <c r="K43" s="19"/>
    </row>
    <row r="44" spans="1:4" ht="11.25">
      <c r="A44" s="22"/>
      <c r="B44" s="11"/>
      <c r="C44" s="11"/>
      <c r="D44" s="23"/>
    </row>
    <row r="45" ht="11.25">
      <c r="C45" s="11"/>
    </row>
  </sheetData>
  <mergeCells count="14">
    <mergeCell ref="D42:K42"/>
    <mergeCell ref="D8:K8"/>
    <mergeCell ref="D9:K9"/>
    <mergeCell ref="D12:K12"/>
    <mergeCell ref="D23:K23"/>
    <mergeCell ref="D14:K15"/>
    <mergeCell ref="D16:K17"/>
    <mergeCell ref="D39:K40"/>
    <mergeCell ref="D33:K34"/>
    <mergeCell ref="D19:K20"/>
    <mergeCell ref="D24:K24"/>
    <mergeCell ref="D25:K25"/>
    <mergeCell ref="D35:K35"/>
    <mergeCell ref="D37:K3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5" sqref="C5"/>
    </sheetView>
  </sheetViews>
  <sheetFormatPr defaultColWidth="9.140625" defaultRowHeight="12.75"/>
  <cols>
    <col min="1" max="1" width="15.140625" style="26" bestFit="1" customWidth="1"/>
    <col min="2" max="2" width="7.8515625" style="26" customWidth="1"/>
    <col min="3" max="3" width="10.57421875" style="27" bestFit="1" customWidth="1"/>
    <col min="4" max="4" width="30.7109375" style="26" bestFit="1" customWidth="1"/>
    <col min="5" max="5" width="10.57421875" style="27" bestFit="1" customWidth="1"/>
    <col min="6" max="16384" width="9.140625" style="26" customWidth="1"/>
  </cols>
  <sheetData>
    <row r="1" spans="1:5" ht="13.5">
      <c r="A1" s="99" t="s">
        <v>71</v>
      </c>
      <c r="B1" s="99"/>
      <c r="C1" s="99"/>
      <c r="D1" s="99"/>
      <c r="E1" s="99"/>
    </row>
    <row r="3" spans="1:5" ht="14.25">
      <c r="A3" s="37" t="s">
        <v>0</v>
      </c>
      <c r="B3" s="100" t="s">
        <v>72</v>
      </c>
      <c r="C3" s="101"/>
      <c r="D3" s="101"/>
      <c r="E3" s="38" t="s">
        <v>1</v>
      </c>
    </row>
    <row r="4" spans="1:5" ht="13.5">
      <c r="A4" s="39" t="s">
        <v>7</v>
      </c>
      <c r="B4" s="39"/>
      <c r="C4" s="40"/>
      <c r="D4" s="39" t="s">
        <v>95</v>
      </c>
      <c r="E4" s="42"/>
    </row>
    <row r="5" spans="1:5" ht="13.5">
      <c r="A5" s="43" t="s">
        <v>2</v>
      </c>
      <c r="B5" s="43"/>
      <c r="C5" s="44">
        <v>9653</v>
      </c>
      <c r="D5" s="28" t="s">
        <v>70</v>
      </c>
      <c r="E5" s="27">
        <v>18000</v>
      </c>
    </row>
    <row r="6" spans="1:3" ht="13.5">
      <c r="A6" s="43" t="s">
        <v>6</v>
      </c>
      <c r="B6" s="43"/>
      <c r="C6" s="44">
        <v>350</v>
      </c>
    </row>
    <row r="7" spans="1:3" ht="13.5">
      <c r="A7" s="43"/>
      <c r="B7" s="43"/>
      <c r="C7" s="44"/>
    </row>
    <row r="8" spans="1:3" ht="13.5">
      <c r="A8" s="43"/>
      <c r="B8" s="43"/>
      <c r="C8" s="44"/>
    </row>
    <row r="9" spans="1:3" ht="13.5">
      <c r="A9" s="45" t="s">
        <v>35</v>
      </c>
      <c r="B9" s="45"/>
      <c r="C9" s="44"/>
    </row>
    <row r="10" spans="1:3" ht="13.5">
      <c r="A10" s="43" t="s">
        <v>60</v>
      </c>
      <c r="B10" s="43"/>
      <c r="C10" s="44">
        <f>Investeringsbegroting!C8</f>
        <v>1900.57</v>
      </c>
    </row>
    <row r="11" spans="1:3" ht="13.5">
      <c r="A11" s="46"/>
      <c r="B11" s="46"/>
      <c r="C11" s="44"/>
    </row>
    <row r="12" spans="1:3" ht="13.5">
      <c r="A12" s="45" t="s">
        <v>5</v>
      </c>
      <c r="B12" s="45"/>
      <c r="C12" s="44"/>
    </row>
    <row r="13" spans="1:3" ht="13.5">
      <c r="A13" s="43" t="s">
        <v>34</v>
      </c>
      <c r="B13" s="43"/>
      <c r="C13" s="44">
        <v>500</v>
      </c>
    </row>
    <row r="14" spans="1:3" ht="13.5">
      <c r="A14" s="28" t="s">
        <v>44</v>
      </c>
      <c r="B14" s="28"/>
      <c r="C14" s="44">
        <f>Investeringsbegroting!H5</f>
        <v>5596.43</v>
      </c>
    </row>
    <row r="15" spans="1:5" ht="13.5">
      <c r="A15" s="47"/>
      <c r="B15" s="47"/>
      <c r="C15" s="48"/>
      <c r="D15" s="47"/>
      <c r="E15" s="34"/>
    </row>
    <row r="16" spans="3:5" ht="13.5">
      <c r="C16" s="44">
        <f>SUM(C5:C14)</f>
        <v>18000</v>
      </c>
      <c r="E16" s="27">
        <f>SUM(E5:E15)</f>
        <v>18000</v>
      </c>
    </row>
  </sheetData>
  <mergeCells count="2">
    <mergeCell ref="A1:E1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 topLeftCell="H7">
      <selection activeCell="S34" sqref="S34"/>
    </sheetView>
  </sheetViews>
  <sheetFormatPr defaultColWidth="9.140625" defaultRowHeight="12.75"/>
  <cols>
    <col min="1" max="1" width="9.140625" style="26" customWidth="1"/>
    <col min="2" max="2" width="20.57421875" style="26" bestFit="1" customWidth="1"/>
    <col min="3" max="3" width="10.57421875" style="27" bestFit="1" customWidth="1"/>
    <col min="4" max="4" width="10.8515625" style="27" bestFit="1" customWidth="1"/>
    <col min="5" max="5" width="10.57421875" style="27" bestFit="1" customWidth="1"/>
    <col min="6" max="6" width="10.8515625" style="27" bestFit="1" customWidth="1"/>
    <col min="7" max="7" width="10.57421875" style="27" bestFit="1" customWidth="1"/>
    <col min="8" max="8" width="10.8515625" style="27" bestFit="1" customWidth="1"/>
    <col min="9" max="9" width="10.57421875" style="27" bestFit="1" customWidth="1"/>
    <col min="10" max="10" width="10.8515625" style="27" bestFit="1" customWidth="1"/>
    <col min="11" max="11" width="10.57421875" style="27" bestFit="1" customWidth="1"/>
    <col min="12" max="12" width="10.8515625" style="27" bestFit="1" customWidth="1"/>
    <col min="13" max="13" width="10.57421875" style="27" bestFit="1" customWidth="1"/>
    <col min="14" max="14" width="10.8515625" style="27" bestFit="1" customWidth="1"/>
    <col min="15" max="15" width="10.57421875" style="27" bestFit="1" customWidth="1"/>
    <col min="16" max="16" width="11.8515625" style="27" bestFit="1" customWidth="1"/>
    <col min="17" max="17" width="10.57421875" style="27" bestFit="1" customWidth="1"/>
    <col min="18" max="18" width="10.8515625" style="27" bestFit="1" customWidth="1"/>
    <col min="19" max="19" width="10.8515625" style="127" customWidth="1"/>
    <col min="20" max="20" width="21.8515625" style="127" bestFit="1" customWidth="1"/>
    <col min="21" max="22" width="10.57421875" style="26" bestFit="1" customWidth="1"/>
    <col min="23" max="16384" width="9.140625" style="26" customWidth="1"/>
  </cols>
  <sheetData>
    <row r="1" spans="1:20" ht="14.25" thickBot="1">
      <c r="A1" s="102" t="s">
        <v>73</v>
      </c>
      <c r="B1" s="103"/>
      <c r="C1" s="103"/>
      <c r="D1" s="103"/>
      <c r="E1" s="103"/>
      <c r="F1" s="103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/>
      <c r="S1" s="125"/>
      <c r="T1" s="125"/>
    </row>
    <row r="2" spans="1:20" ht="13.5">
      <c r="A2" s="52"/>
      <c r="B2" s="57"/>
      <c r="D2" s="60" t="s">
        <v>82</v>
      </c>
      <c r="E2" s="61"/>
      <c r="F2" s="60" t="s">
        <v>83</v>
      </c>
      <c r="G2" s="61"/>
      <c r="H2" s="60" t="s">
        <v>84</v>
      </c>
      <c r="I2" s="61"/>
      <c r="J2" s="60" t="s">
        <v>85</v>
      </c>
      <c r="K2" s="61"/>
      <c r="L2" s="60" t="s">
        <v>120</v>
      </c>
      <c r="M2" s="61"/>
      <c r="N2" s="60" t="s">
        <v>67</v>
      </c>
      <c r="O2" s="61"/>
      <c r="P2" s="60" t="s">
        <v>69</v>
      </c>
      <c r="Q2" s="61"/>
      <c r="R2" s="60" t="s">
        <v>68</v>
      </c>
      <c r="S2" s="126"/>
      <c r="T2" s="126"/>
    </row>
    <row r="3" spans="1:20" ht="13.5">
      <c r="A3" s="53" t="s">
        <v>74</v>
      </c>
      <c r="B3" s="58"/>
      <c r="C3" s="48" t="s">
        <v>80</v>
      </c>
      <c r="D3" s="62" t="s">
        <v>81</v>
      </c>
      <c r="E3" s="48" t="s">
        <v>80</v>
      </c>
      <c r="F3" s="62" t="s">
        <v>81</v>
      </c>
      <c r="G3" s="48" t="s">
        <v>80</v>
      </c>
      <c r="H3" s="62" t="s">
        <v>81</v>
      </c>
      <c r="I3" s="48" t="s">
        <v>80</v>
      </c>
      <c r="J3" s="62" t="s">
        <v>81</v>
      </c>
      <c r="K3" s="48" t="s">
        <v>80</v>
      </c>
      <c r="L3" s="62" t="s">
        <v>81</v>
      </c>
      <c r="M3" s="48" t="s">
        <v>80</v>
      </c>
      <c r="N3" s="62" t="s">
        <v>81</v>
      </c>
      <c r="O3" s="48" t="s">
        <v>80</v>
      </c>
      <c r="P3" s="62" t="s">
        <v>81</v>
      </c>
      <c r="Q3" s="48" t="s">
        <v>80</v>
      </c>
      <c r="R3" s="62" t="s">
        <v>81</v>
      </c>
      <c r="S3" s="74"/>
      <c r="T3" s="74"/>
    </row>
    <row r="4" spans="1:20" ht="13.5">
      <c r="A4" s="54"/>
      <c r="B4" s="58" t="s">
        <v>75</v>
      </c>
      <c r="C4" s="44">
        <v>17200</v>
      </c>
      <c r="D4" s="63">
        <v>15700</v>
      </c>
      <c r="E4" s="44">
        <v>20250</v>
      </c>
      <c r="F4" s="63">
        <v>20250</v>
      </c>
      <c r="G4" s="44">
        <v>8600</v>
      </c>
      <c r="H4" s="63">
        <v>8600</v>
      </c>
      <c r="I4" s="44">
        <v>4600</v>
      </c>
      <c r="J4" s="63">
        <v>4600</v>
      </c>
      <c r="K4" s="44"/>
      <c r="L4" s="63"/>
      <c r="M4" s="44">
        <v>5900</v>
      </c>
      <c r="N4" s="63">
        <v>5900</v>
      </c>
      <c r="O4" s="44">
        <f>12300+39890</f>
        <v>52190</v>
      </c>
      <c r="P4" s="63">
        <f>12300+42016.8</f>
        <v>54316.8</v>
      </c>
      <c r="Q4" s="44">
        <v>9850</v>
      </c>
      <c r="R4" s="63">
        <f>(50000/6)+9850</f>
        <v>18183.333333333336</v>
      </c>
      <c r="S4" s="74"/>
      <c r="T4" s="74"/>
    </row>
    <row r="5" spans="1:20" ht="13.5">
      <c r="A5" s="54"/>
      <c r="B5" s="58" t="s">
        <v>59</v>
      </c>
      <c r="C5" s="44">
        <v>0</v>
      </c>
      <c r="D5" s="63">
        <v>0</v>
      </c>
      <c r="E5" s="44"/>
      <c r="F5" s="63"/>
      <c r="G5" s="44"/>
      <c r="H5" s="63">
        <v>5000</v>
      </c>
      <c r="I5" s="44"/>
      <c r="J5" s="63"/>
      <c r="K5" s="44"/>
      <c r="L5" s="63"/>
      <c r="M5" s="44"/>
      <c r="N5" s="63"/>
      <c r="O5" s="44"/>
      <c r="P5" s="63"/>
      <c r="Q5" s="44"/>
      <c r="R5" s="63"/>
      <c r="S5" s="74"/>
      <c r="T5" s="74"/>
    </row>
    <row r="6" spans="1:20" ht="13.5">
      <c r="A6" s="54"/>
      <c r="B6" s="58" t="s">
        <v>76</v>
      </c>
      <c r="C6" s="44">
        <v>0</v>
      </c>
      <c r="D6" s="63">
        <v>0</v>
      </c>
      <c r="E6" s="44"/>
      <c r="F6" s="63">
        <v>1000</v>
      </c>
      <c r="G6" s="44"/>
      <c r="H6" s="63"/>
      <c r="I6" s="44"/>
      <c r="J6" s="63"/>
      <c r="K6" s="44"/>
      <c r="L6" s="63"/>
      <c r="M6" s="44"/>
      <c r="N6" s="63"/>
      <c r="O6" s="44"/>
      <c r="P6" s="63"/>
      <c r="Q6" s="44"/>
      <c r="R6" s="63"/>
      <c r="S6" s="74"/>
      <c r="T6" s="74"/>
    </row>
    <row r="7" spans="1:20" ht="14.25" thickBot="1">
      <c r="A7" s="54"/>
      <c r="B7" s="58"/>
      <c r="C7" s="44"/>
      <c r="D7" s="63"/>
      <c r="E7" s="44"/>
      <c r="F7" s="63"/>
      <c r="G7" s="44"/>
      <c r="H7" s="63"/>
      <c r="I7" s="44"/>
      <c r="J7" s="63"/>
      <c r="K7" s="44"/>
      <c r="L7" s="63"/>
      <c r="M7" s="44"/>
      <c r="N7" s="63"/>
      <c r="O7" s="44"/>
      <c r="P7" s="63"/>
      <c r="Q7" s="44"/>
      <c r="R7" s="63"/>
      <c r="S7" s="74"/>
      <c r="T7" s="74"/>
    </row>
    <row r="8" spans="1:20" ht="14.25" thickBot="1">
      <c r="A8" s="49" t="s">
        <v>77</v>
      </c>
      <c r="B8" s="56"/>
      <c r="C8" s="64">
        <f>SUM(C4:C6)</f>
        <v>17200</v>
      </c>
      <c r="D8" s="64">
        <f aca="true" t="shared" si="0" ref="D8:R8">SUM(D4:D6)</f>
        <v>15700</v>
      </c>
      <c r="E8" s="64">
        <f t="shared" si="0"/>
        <v>20250</v>
      </c>
      <c r="F8" s="64">
        <f t="shared" si="0"/>
        <v>21250</v>
      </c>
      <c r="G8" s="64">
        <f t="shared" si="0"/>
        <v>8600</v>
      </c>
      <c r="H8" s="64">
        <f t="shared" si="0"/>
        <v>13600</v>
      </c>
      <c r="I8" s="64">
        <f t="shared" si="0"/>
        <v>4600</v>
      </c>
      <c r="J8" s="64">
        <f t="shared" si="0"/>
        <v>4600</v>
      </c>
      <c r="K8" s="64">
        <f t="shared" si="0"/>
        <v>0</v>
      </c>
      <c r="L8" s="64">
        <f t="shared" si="0"/>
        <v>0</v>
      </c>
      <c r="M8" s="64">
        <f t="shared" si="0"/>
        <v>5900</v>
      </c>
      <c r="N8" s="64">
        <f t="shared" si="0"/>
        <v>5900</v>
      </c>
      <c r="O8" s="64">
        <f t="shared" si="0"/>
        <v>52190</v>
      </c>
      <c r="P8" s="64">
        <f t="shared" si="0"/>
        <v>54316.8</v>
      </c>
      <c r="Q8" s="64">
        <f t="shared" si="0"/>
        <v>9850</v>
      </c>
      <c r="R8" s="64">
        <f t="shared" si="0"/>
        <v>18183.333333333336</v>
      </c>
      <c r="S8" s="74"/>
      <c r="T8" s="74"/>
    </row>
    <row r="9" spans="1:20" ht="13.5">
      <c r="A9" s="54"/>
      <c r="B9" s="58"/>
      <c r="C9" s="44"/>
      <c r="D9" s="63"/>
      <c r="E9" s="44"/>
      <c r="F9" s="63"/>
      <c r="G9" s="44"/>
      <c r="H9" s="63"/>
      <c r="I9" s="44"/>
      <c r="J9" s="63"/>
      <c r="K9" s="44"/>
      <c r="L9" s="63"/>
      <c r="M9" s="44"/>
      <c r="N9" s="63"/>
      <c r="O9" s="44"/>
      <c r="P9" s="63"/>
      <c r="Q9" s="44"/>
      <c r="R9" s="63"/>
      <c r="S9" s="74"/>
      <c r="T9" s="74"/>
    </row>
    <row r="10" spans="1:20" ht="13.5">
      <c r="A10" s="53" t="s">
        <v>78</v>
      </c>
      <c r="B10" s="58"/>
      <c r="C10" s="44"/>
      <c r="D10" s="63"/>
      <c r="E10" s="44"/>
      <c r="F10" s="63"/>
      <c r="G10" s="44"/>
      <c r="H10" s="63"/>
      <c r="I10" s="44"/>
      <c r="J10" s="63"/>
      <c r="K10" s="44"/>
      <c r="L10" s="63"/>
      <c r="M10" s="44"/>
      <c r="N10" s="63"/>
      <c r="O10" s="44"/>
      <c r="P10" s="63"/>
      <c r="Q10" s="44"/>
      <c r="R10" s="63"/>
      <c r="S10" s="74"/>
      <c r="T10" s="74"/>
    </row>
    <row r="11" spans="1:20" ht="13.5">
      <c r="A11" s="54"/>
      <c r="B11" s="58" t="s">
        <v>11</v>
      </c>
      <c r="C11" s="44">
        <v>800</v>
      </c>
      <c r="D11" s="63">
        <v>800</v>
      </c>
      <c r="E11" s="44">
        <v>800</v>
      </c>
      <c r="F11" s="63">
        <v>800</v>
      </c>
      <c r="G11" s="44">
        <v>800</v>
      </c>
      <c r="H11" s="63">
        <v>800</v>
      </c>
      <c r="I11" s="44">
        <v>800</v>
      </c>
      <c r="J11" s="63">
        <v>800</v>
      </c>
      <c r="K11" s="44"/>
      <c r="L11" s="63"/>
      <c r="M11" s="44">
        <v>800</v>
      </c>
      <c r="N11" s="63">
        <v>800</v>
      </c>
      <c r="O11" s="44">
        <v>800</v>
      </c>
      <c r="P11" s="63">
        <v>800</v>
      </c>
      <c r="Q11" s="44">
        <v>800</v>
      </c>
      <c r="R11" s="63">
        <v>800</v>
      </c>
      <c r="S11" s="74"/>
      <c r="T11" s="74"/>
    </row>
    <row r="12" spans="1:20" ht="13.5">
      <c r="A12" s="54"/>
      <c r="B12" s="58" t="s">
        <v>12</v>
      </c>
      <c r="C12" s="44">
        <v>11590</v>
      </c>
      <c r="D12" s="63">
        <v>11590</v>
      </c>
      <c r="E12" s="44">
        <v>11590</v>
      </c>
      <c r="F12" s="63">
        <v>11590</v>
      </c>
      <c r="G12" s="44">
        <v>11590</v>
      </c>
      <c r="H12" s="63">
        <v>11590</v>
      </c>
      <c r="I12" s="44">
        <v>11823.7</v>
      </c>
      <c r="J12" s="63">
        <v>11823.7</v>
      </c>
      <c r="K12" s="44"/>
      <c r="L12" s="63"/>
      <c r="M12" s="44">
        <v>11823.7</v>
      </c>
      <c r="N12" s="63">
        <v>11823.7</v>
      </c>
      <c r="O12" s="44">
        <v>11823.7</v>
      </c>
      <c r="P12" s="63">
        <v>11823.7</v>
      </c>
      <c r="Q12" s="44">
        <v>11823.7</v>
      </c>
      <c r="R12" s="63">
        <v>11823.7</v>
      </c>
      <c r="S12" s="74"/>
      <c r="T12" s="74"/>
    </row>
    <row r="13" spans="1:20" ht="13.5">
      <c r="A13" s="54"/>
      <c r="B13" s="58" t="s">
        <v>13</v>
      </c>
      <c r="C13" s="44">
        <v>2000</v>
      </c>
      <c r="D13" s="63">
        <v>2000</v>
      </c>
      <c r="E13" s="44">
        <v>2000</v>
      </c>
      <c r="F13" s="63">
        <v>2000</v>
      </c>
      <c r="G13" s="44">
        <v>2000</v>
      </c>
      <c r="H13" s="63">
        <v>2000</v>
      </c>
      <c r="I13" s="44">
        <v>2000</v>
      </c>
      <c r="J13" s="63">
        <v>2000</v>
      </c>
      <c r="K13" s="44"/>
      <c r="L13" s="63"/>
      <c r="M13" s="44">
        <v>2000</v>
      </c>
      <c r="N13" s="63">
        <v>2000</v>
      </c>
      <c r="O13" s="44">
        <v>2000</v>
      </c>
      <c r="P13" s="63">
        <v>2000</v>
      </c>
      <c r="Q13" s="44">
        <v>2000</v>
      </c>
      <c r="R13" s="63">
        <v>2000</v>
      </c>
      <c r="S13" s="74"/>
      <c r="T13" s="74"/>
    </row>
    <row r="14" spans="1:20" ht="13.5">
      <c r="A14" s="54"/>
      <c r="B14" s="58" t="s">
        <v>36</v>
      </c>
      <c r="C14" s="44">
        <v>46</v>
      </c>
      <c r="D14" s="63">
        <v>46</v>
      </c>
      <c r="E14" s="44">
        <v>46</v>
      </c>
      <c r="F14" s="63">
        <v>46</v>
      </c>
      <c r="G14" s="44">
        <v>46</v>
      </c>
      <c r="H14" s="63">
        <v>46</v>
      </c>
      <c r="I14" s="44">
        <v>46</v>
      </c>
      <c r="J14" s="63">
        <v>46</v>
      </c>
      <c r="K14" s="44"/>
      <c r="L14" s="63"/>
      <c r="M14" s="44">
        <v>46</v>
      </c>
      <c r="N14" s="63">
        <v>46</v>
      </c>
      <c r="O14" s="44">
        <v>46</v>
      </c>
      <c r="P14" s="63">
        <v>46</v>
      </c>
      <c r="Q14" s="44">
        <v>46</v>
      </c>
      <c r="R14" s="63">
        <v>46</v>
      </c>
      <c r="S14" s="74"/>
      <c r="T14" s="74"/>
    </row>
    <row r="15" spans="1:20" ht="13.5">
      <c r="A15" s="54"/>
      <c r="B15" s="58" t="s">
        <v>79</v>
      </c>
      <c r="C15" s="44">
        <v>350</v>
      </c>
      <c r="D15" s="63">
        <v>350</v>
      </c>
      <c r="E15" s="44">
        <v>150</v>
      </c>
      <c r="F15" s="63">
        <v>150</v>
      </c>
      <c r="G15" s="44">
        <v>150</v>
      </c>
      <c r="H15" s="63">
        <v>150</v>
      </c>
      <c r="I15" s="44">
        <v>150</v>
      </c>
      <c r="J15" s="63">
        <v>150</v>
      </c>
      <c r="K15" s="44"/>
      <c r="L15" s="63"/>
      <c r="M15" s="44">
        <v>150</v>
      </c>
      <c r="N15" s="63">
        <v>150</v>
      </c>
      <c r="O15" s="44">
        <v>150</v>
      </c>
      <c r="P15" s="63">
        <v>150</v>
      </c>
      <c r="Q15" s="44">
        <v>150</v>
      </c>
      <c r="R15" s="63">
        <v>150</v>
      </c>
      <c r="S15" s="74"/>
      <c r="T15" s="74"/>
    </row>
    <row r="16" spans="1:20" ht="13.5">
      <c r="A16" s="54"/>
      <c r="B16" s="58" t="s">
        <v>14</v>
      </c>
      <c r="C16" s="44">
        <v>200</v>
      </c>
      <c r="D16" s="63">
        <v>200</v>
      </c>
      <c r="E16" s="44">
        <v>200</v>
      </c>
      <c r="F16" s="63">
        <v>200</v>
      </c>
      <c r="G16" s="44">
        <v>200</v>
      </c>
      <c r="H16" s="63">
        <v>200</v>
      </c>
      <c r="I16" s="44">
        <v>200</v>
      </c>
      <c r="J16" s="63">
        <v>200</v>
      </c>
      <c r="K16" s="44"/>
      <c r="L16" s="63"/>
      <c r="M16" s="44">
        <v>200</v>
      </c>
      <c r="N16" s="63">
        <v>200</v>
      </c>
      <c r="O16" s="44">
        <v>200</v>
      </c>
      <c r="P16" s="63">
        <v>200</v>
      </c>
      <c r="Q16" s="44">
        <v>200</v>
      </c>
      <c r="R16" s="63">
        <v>200</v>
      </c>
      <c r="S16" s="74"/>
      <c r="T16" s="74"/>
    </row>
    <row r="17" spans="1:20" ht="13.5">
      <c r="A17" s="54"/>
      <c r="B17" s="58" t="s">
        <v>103</v>
      </c>
      <c r="C17" s="44">
        <f>Kostenspecificatie!$C$26</f>
        <v>192.46527777777777</v>
      </c>
      <c r="D17" s="63">
        <f>Kostenspecificatie!$C$26</f>
        <v>192.46527777777777</v>
      </c>
      <c r="E17" s="44">
        <f>Kostenspecificatie!$C$26</f>
        <v>192.46527777777777</v>
      </c>
      <c r="F17" s="63">
        <f>Kostenspecificatie!$C$26</f>
        <v>192.46527777777777</v>
      </c>
      <c r="G17" s="44">
        <f>Kostenspecificatie!$C$26</f>
        <v>192.46527777777777</v>
      </c>
      <c r="H17" s="63">
        <f>Kostenspecificatie!$C$26</f>
        <v>192.46527777777777</v>
      </c>
      <c r="I17" s="44">
        <f>Kostenspecificatie!$C$26</f>
        <v>192.46527777777777</v>
      </c>
      <c r="J17" s="63">
        <f>Kostenspecificatie!$C$26</f>
        <v>192.46527777777777</v>
      </c>
      <c r="K17" s="44"/>
      <c r="L17" s="63"/>
      <c r="M17" s="44">
        <v>192.47</v>
      </c>
      <c r="N17" s="63">
        <v>192.47</v>
      </c>
      <c r="O17" s="44">
        <f>Kostenspecificatie!$C$26</f>
        <v>192.46527777777777</v>
      </c>
      <c r="P17" s="63">
        <f>Kostenspecificatie!$C$26</f>
        <v>192.46527777777777</v>
      </c>
      <c r="Q17" s="44">
        <f>Kostenspecificatie!$C$26</f>
        <v>192.46527777777777</v>
      </c>
      <c r="R17" s="63">
        <f>Kostenspecificatie!$C$26</f>
        <v>192.46527777777777</v>
      </c>
      <c r="S17" s="74"/>
      <c r="T17" s="74"/>
    </row>
    <row r="18" spans="1:20" ht="14.25" thickBot="1">
      <c r="A18" s="54"/>
      <c r="B18" s="58" t="s">
        <v>104</v>
      </c>
      <c r="C18" s="44">
        <f>Kostenspecificatie!$C$31</f>
        <v>87.41538461538461</v>
      </c>
      <c r="D18" s="63">
        <f>Kostenspecificatie!$C$31</f>
        <v>87.41538461538461</v>
      </c>
      <c r="E18" s="44">
        <f>Kostenspecificatie!$C$31</f>
        <v>87.41538461538461</v>
      </c>
      <c r="F18" s="63">
        <f>Kostenspecificatie!$C$31</f>
        <v>87.41538461538461</v>
      </c>
      <c r="G18" s="44">
        <f>Kostenspecificatie!$C$31</f>
        <v>87.41538461538461</v>
      </c>
      <c r="H18" s="63">
        <f>Kostenspecificatie!$C$31</f>
        <v>87.41538461538461</v>
      </c>
      <c r="I18" s="44">
        <f>Kostenspecificatie!$C$31</f>
        <v>87.41538461538461</v>
      </c>
      <c r="J18" s="63">
        <f>Kostenspecificatie!$C$31</f>
        <v>87.41538461538461</v>
      </c>
      <c r="K18" s="44"/>
      <c r="L18" s="63"/>
      <c r="M18" s="44">
        <v>87.42</v>
      </c>
      <c r="N18" s="63">
        <v>87.42</v>
      </c>
      <c r="O18" s="44">
        <f>Kostenspecificatie!$C$31</f>
        <v>87.41538461538461</v>
      </c>
      <c r="P18" s="63">
        <f>Kostenspecificatie!$C$31</f>
        <v>87.41538461538461</v>
      </c>
      <c r="Q18" s="44">
        <f>Kostenspecificatie!$C$31</f>
        <v>87.41538461538461</v>
      </c>
      <c r="R18" s="63">
        <f>Kostenspecificatie!$C$31</f>
        <v>87.41538461538461</v>
      </c>
      <c r="S18" s="74"/>
      <c r="T18" s="74"/>
    </row>
    <row r="19" spans="1:20" ht="14.25" thickBot="1">
      <c r="A19" s="49" t="s">
        <v>86</v>
      </c>
      <c r="B19" s="56"/>
      <c r="C19" s="64">
        <f>SUM(C11:C18)</f>
        <v>15265.880662393161</v>
      </c>
      <c r="D19" s="64">
        <f>SUM(D11:D18)</f>
        <v>15265.880662393161</v>
      </c>
      <c r="E19" s="64">
        <f aca="true" t="shared" si="1" ref="E19:R19">SUM(E11:E18)</f>
        <v>15065.880662393161</v>
      </c>
      <c r="F19" s="64">
        <f t="shared" si="1"/>
        <v>15065.880662393161</v>
      </c>
      <c r="G19" s="64">
        <f t="shared" si="1"/>
        <v>15065.880662393161</v>
      </c>
      <c r="H19" s="64">
        <f t="shared" si="1"/>
        <v>15065.880662393161</v>
      </c>
      <c r="I19" s="64">
        <f t="shared" si="1"/>
        <v>15299.580662393162</v>
      </c>
      <c r="J19" s="64">
        <f t="shared" si="1"/>
        <v>15299.580662393162</v>
      </c>
      <c r="K19" s="64">
        <f t="shared" si="1"/>
        <v>0</v>
      </c>
      <c r="L19" s="64">
        <f t="shared" si="1"/>
        <v>0</v>
      </c>
      <c r="M19" s="64">
        <f t="shared" si="1"/>
        <v>15299.59</v>
      </c>
      <c r="N19" s="64">
        <f t="shared" si="1"/>
        <v>15299.59</v>
      </c>
      <c r="O19" s="64">
        <f t="shared" si="1"/>
        <v>15299.580662393162</v>
      </c>
      <c r="P19" s="64">
        <f t="shared" si="1"/>
        <v>15299.580662393162</v>
      </c>
      <c r="Q19" s="64">
        <f t="shared" si="1"/>
        <v>15299.580662393162</v>
      </c>
      <c r="R19" s="64">
        <f t="shared" si="1"/>
        <v>15299.580662393162</v>
      </c>
      <c r="S19" s="74"/>
      <c r="T19" s="74"/>
    </row>
    <row r="20" spans="1:20" ht="13.5">
      <c r="A20" s="54"/>
      <c r="B20" s="58"/>
      <c r="C20" s="44"/>
      <c r="D20" s="63"/>
      <c r="E20" s="44"/>
      <c r="F20" s="63"/>
      <c r="G20" s="44"/>
      <c r="H20" s="63"/>
      <c r="I20" s="44"/>
      <c r="J20" s="63"/>
      <c r="K20" s="44"/>
      <c r="L20" s="63"/>
      <c r="M20" s="44"/>
      <c r="N20" s="63"/>
      <c r="O20" s="44"/>
      <c r="P20" s="63"/>
      <c r="Q20" s="44"/>
      <c r="R20" s="63"/>
      <c r="S20" s="74"/>
      <c r="T20" s="74"/>
    </row>
    <row r="21" spans="1:21" ht="13.5">
      <c r="A21" s="53" t="s">
        <v>87</v>
      </c>
      <c r="B21" s="58"/>
      <c r="C21" s="44">
        <f aca="true" t="shared" si="2" ref="C21:R21">C8-C19</f>
        <v>1934.1193376068386</v>
      </c>
      <c r="D21" s="63">
        <f t="shared" si="2"/>
        <v>434.1193376068386</v>
      </c>
      <c r="E21" s="44">
        <f t="shared" si="2"/>
        <v>5184.119337606839</v>
      </c>
      <c r="F21" s="63">
        <f t="shared" si="2"/>
        <v>6184.119337606839</v>
      </c>
      <c r="G21" s="44">
        <f t="shared" si="2"/>
        <v>-6465.880662393161</v>
      </c>
      <c r="H21" s="63">
        <f t="shared" si="2"/>
        <v>-1465.8806623931614</v>
      </c>
      <c r="I21" s="44">
        <f t="shared" si="2"/>
        <v>-10699.580662393162</v>
      </c>
      <c r="J21" s="63">
        <f t="shared" si="2"/>
        <v>-10699.580662393162</v>
      </c>
      <c r="K21" s="44">
        <f t="shared" si="2"/>
        <v>0</v>
      </c>
      <c r="L21" s="63">
        <f t="shared" si="2"/>
        <v>0</v>
      </c>
      <c r="M21" s="44">
        <f t="shared" si="2"/>
        <v>-9399.59</v>
      </c>
      <c r="N21" s="63">
        <f t="shared" si="2"/>
        <v>-9399.59</v>
      </c>
      <c r="O21" s="44">
        <f t="shared" si="2"/>
        <v>36890.419337606836</v>
      </c>
      <c r="P21" s="63">
        <f t="shared" si="2"/>
        <v>39017.21933760684</v>
      </c>
      <c r="Q21" s="44">
        <f t="shared" si="2"/>
        <v>-5449.580662393162</v>
      </c>
      <c r="R21" s="63">
        <f t="shared" si="2"/>
        <v>2883.7526709401736</v>
      </c>
      <c r="T21" s="74"/>
      <c r="U21" s="131"/>
    </row>
    <row r="22" spans="1:21" ht="13.5">
      <c r="A22" s="53" t="s">
        <v>88</v>
      </c>
      <c r="B22" s="58"/>
      <c r="C22" s="44">
        <f>0.345*C21</f>
        <v>667.2711714743592</v>
      </c>
      <c r="D22" s="63">
        <f>0.345*D21</f>
        <v>149.7711714743593</v>
      </c>
      <c r="E22" s="44">
        <f>0.345*E21</f>
        <v>1788.521171474359</v>
      </c>
      <c r="F22" s="63">
        <f>0.345*F21</f>
        <v>2133.521171474359</v>
      </c>
      <c r="G22" s="44"/>
      <c r="H22" s="63"/>
      <c r="I22" s="44"/>
      <c r="J22" s="63"/>
      <c r="K22" s="44"/>
      <c r="L22" s="63"/>
      <c r="M22" s="44"/>
      <c r="N22" s="63"/>
      <c r="O22" s="44"/>
      <c r="P22" s="63">
        <f>0.345*P21</f>
        <v>13460.940671474358</v>
      </c>
      <c r="Q22" s="44"/>
      <c r="R22" s="63">
        <f>0.345*R21</f>
        <v>994.8946714743598</v>
      </c>
      <c r="T22" s="74"/>
      <c r="U22" s="131"/>
    </row>
    <row r="23" spans="1:21" ht="14.25" thickBot="1">
      <c r="A23" s="54"/>
      <c r="B23" s="58"/>
      <c r="C23" s="44"/>
      <c r="D23" s="63"/>
      <c r="E23" s="44"/>
      <c r="F23" s="63"/>
      <c r="G23" s="44"/>
      <c r="H23" s="63"/>
      <c r="I23" s="44"/>
      <c r="J23" s="63"/>
      <c r="K23" s="44"/>
      <c r="L23" s="63"/>
      <c r="M23" s="44"/>
      <c r="N23" s="63"/>
      <c r="O23" s="44"/>
      <c r="P23" s="63"/>
      <c r="Q23" s="44"/>
      <c r="R23" s="63"/>
      <c r="T23" s="74"/>
      <c r="U23" s="70"/>
    </row>
    <row r="24" spans="1:22" ht="14.25" thickBot="1">
      <c r="A24" s="49" t="s">
        <v>89</v>
      </c>
      <c r="B24" s="56"/>
      <c r="C24" s="64">
        <f>C21-C22</f>
        <v>1266.8481661324795</v>
      </c>
      <c r="D24" s="64">
        <f aca="true" t="shared" si="3" ref="D24:R24">D21-D22</f>
        <v>284.34816613247926</v>
      </c>
      <c r="E24" s="64">
        <f t="shared" si="3"/>
        <v>3395.5981661324795</v>
      </c>
      <c r="F24" s="64">
        <f t="shared" si="3"/>
        <v>4050.5981661324795</v>
      </c>
      <c r="G24" s="64">
        <f t="shared" si="3"/>
        <v>-6465.880662393161</v>
      </c>
      <c r="H24" s="64">
        <f t="shared" si="3"/>
        <v>-1465.8806623931614</v>
      </c>
      <c r="I24" s="64">
        <f t="shared" si="3"/>
        <v>-10699.580662393162</v>
      </c>
      <c r="J24" s="64">
        <f t="shared" si="3"/>
        <v>-10699.580662393162</v>
      </c>
      <c r="K24" s="64">
        <f t="shared" si="3"/>
        <v>0</v>
      </c>
      <c r="L24" s="64">
        <f t="shared" si="3"/>
        <v>0</v>
      </c>
      <c r="M24" s="64">
        <f t="shared" si="3"/>
        <v>-9399.59</v>
      </c>
      <c r="N24" s="64">
        <f t="shared" si="3"/>
        <v>-9399.59</v>
      </c>
      <c r="O24" s="64">
        <f t="shared" si="3"/>
        <v>36890.419337606836</v>
      </c>
      <c r="P24" s="64">
        <f t="shared" si="3"/>
        <v>25556.27866613248</v>
      </c>
      <c r="Q24" s="64">
        <f t="shared" si="3"/>
        <v>-5449.580662393162</v>
      </c>
      <c r="R24" s="64">
        <f t="shared" si="3"/>
        <v>1888.857999465814</v>
      </c>
      <c r="T24" s="74"/>
      <c r="U24" s="131"/>
      <c r="V24" s="96"/>
    </row>
    <row r="25" spans="1:20" ht="14.25" thickBot="1">
      <c r="A25" s="55" t="s">
        <v>90</v>
      </c>
      <c r="B25" s="59"/>
      <c r="C25" s="66"/>
      <c r="D25" s="65">
        <f>D24</f>
        <v>284.34816613247926</v>
      </c>
      <c r="E25" s="66"/>
      <c r="F25" s="65">
        <f>D25+F24</f>
        <v>4334.946332264959</v>
      </c>
      <c r="G25" s="66"/>
      <c r="H25" s="65">
        <f>F25+H24</f>
        <v>2869.0656698717976</v>
      </c>
      <c r="I25" s="66"/>
      <c r="J25" s="65">
        <f>H25+J24</f>
        <v>-7830.514992521365</v>
      </c>
      <c r="K25" s="66"/>
      <c r="L25" s="65">
        <f>J25+L24</f>
        <v>-7830.514992521365</v>
      </c>
      <c r="M25" s="66"/>
      <c r="N25" s="65">
        <f>L25+N24</f>
        <v>-17230.104992521367</v>
      </c>
      <c r="O25" s="66"/>
      <c r="P25" s="65">
        <f>N25+P24</f>
        <v>8326.173673611112</v>
      </c>
      <c r="Q25" s="66"/>
      <c r="R25" s="65">
        <f>P25+R24</f>
        <v>10215.031673076926</v>
      </c>
      <c r="S25" s="74"/>
      <c r="T25" s="74"/>
    </row>
    <row r="26" spans="1:22" ht="14.25" thickBot="1">
      <c r="A26" s="55" t="s">
        <v>115</v>
      </c>
      <c r="B26" s="59"/>
      <c r="C26" s="121"/>
      <c r="D26" s="122">
        <f>D22</f>
        <v>149.7711714743593</v>
      </c>
      <c r="E26" s="121"/>
      <c r="F26" s="122">
        <f>D26+F22</f>
        <v>2283.292342948718</v>
      </c>
      <c r="G26" s="121"/>
      <c r="H26" s="122">
        <f>F26+H22</f>
        <v>2283.292342948718</v>
      </c>
      <c r="I26" s="123"/>
      <c r="J26" s="122">
        <f>H26+J22</f>
        <v>2283.292342948718</v>
      </c>
      <c r="K26" s="123"/>
      <c r="L26" s="122">
        <f>J26+L22</f>
        <v>2283.292342948718</v>
      </c>
      <c r="M26" s="121"/>
      <c r="N26" s="121">
        <f>L26+N22</f>
        <v>2283.292342948718</v>
      </c>
      <c r="O26" s="123"/>
      <c r="P26" s="122">
        <f>N26+P22</f>
        <v>15744.233014423076</v>
      </c>
      <c r="Q26" s="121"/>
      <c r="R26" s="122">
        <f>P26+R22</f>
        <v>16739.127685897438</v>
      </c>
      <c r="S26" s="74"/>
      <c r="T26" s="74"/>
      <c r="V26" s="96"/>
    </row>
    <row r="27" spans="8:9" ht="13.5">
      <c r="H27" s="124"/>
      <c r="I27" s="124"/>
    </row>
    <row r="29" ht="13.5">
      <c r="C29" s="27" t="s">
        <v>121</v>
      </c>
    </row>
    <row r="30" spans="5:11" ht="14.25" thickBot="1">
      <c r="E30" s="67"/>
      <c r="K30" s="73"/>
    </row>
    <row r="31" spans="3:17" ht="14.25">
      <c r="C31" s="129" t="s">
        <v>123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30"/>
      <c r="N31" s="132" t="s">
        <v>122</v>
      </c>
      <c r="O31" s="133"/>
      <c r="P31" s="134">
        <f>SUM(D21,F21,H21,J21,L21,N21,P21,R21)</f>
        <v>26954.159358974364</v>
      </c>
      <c r="Q31" s="95"/>
    </row>
    <row r="32" spans="3:17" ht="14.25"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30"/>
      <c r="N32" s="135" t="s">
        <v>88</v>
      </c>
      <c r="O32" s="136"/>
      <c r="P32" s="137">
        <f>(0.29*22689)+0.345*(P31-22689)</f>
        <v>8051.289978846155</v>
      </c>
      <c r="Q32" s="95"/>
    </row>
    <row r="33" spans="3:17" ht="14.25"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5"/>
      <c r="O33" s="138"/>
      <c r="P33" s="139"/>
      <c r="Q33" s="95"/>
    </row>
    <row r="34" spans="14:16" ht="14.25" thickBot="1">
      <c r="N34" s="140" t="s">
        <v>89</v>
      </c>
      <c r="O34" s="141"/>
      <c r="P34" s="142">
        <f>P31-P32</f>
        <v>18902.86938012821</v>
      </c>
    </row>
  </sheetData>
  <mergeCells count="2">
    <mergeCell ref="A1:R1"/>
    <mergeCell ref="C31:L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32" sqref="I32"/>
    </sheetView>
  </sheetViews>
  <sheetFormatPr defaultColWidth="9.140625" defaultRowHeight="12.75"/>
  <cols>
    <col min="1" max="1" width="28.421875" style="26" bestFit="1" customWidth="1"/>
    <col min="2" max="2" width="14.57421875" style="27" bestFit="1" customWidth="1"/>
    <col min="3" max="3" width="11.8515625" style="26" bestFit="1" customWidth="1"/>
    <col min="4" max="4" width="12.00390625" style="27" bestFit="1" customWidth="1"/>
    <col min="5" max="5" width="12.57421875" style="27" bestFit="1" customWidth="1"/>
    <col min="6" max="6" width="11.8515625" style="27" bestFit="1" customWidth="1"/>
    <col min="7" max="7" width="12.00390625" style="27" bestFit="1" customWidth="1"/>
    <col min="8" max="8" width="11.8515625" style="27" bestFit="1" customWidth="1"/>
    <col min="9" max="9" width="12.00390625" style="27" bestFit="1" customWidth="1"/>
    <col min="10" max="16384" width="9.140625" style="26" customWidth="1"/>
  </cols>
  <sheetData>
    <row r="1" spans="1:9" ht="14.25" thickBot="1">
      <c r="A1" s="32"/>
      <c r="B1" s="33"/>
      <c r="C1" s="106" t="s">
        <v>50</v>
      </c>
      <c r="D1" s="107"/>
      <c r="E1" s="107"/>
      <c r="F1" s="107"/>
      <c r="G1" s="98"/>
      <c r="H1" s="33"/>
      <c r="I1" s="33"/>
    </row>
    <row r="2" spans="1:10" ht="13.5">
      <c r="A2" s="50"/>
      <c r="B2" s="68" t="s">
        <v>82</v>
      </c>
      <c r="C2" s="68" t="s">
        <v>83</v>
      </c>
      <c r="D2" s="68" t="s">
        <v>84</v>
      </c>
      <c r="E2" s="68" t="s">
        <v>85</v>
      </c>
      <c r="F2" s="68" t="s">
        <v>91</v>
      </c>
      <c r="G2" s="68" t="s">
        <v>67</v>
      </c>
      <c r="H2" s="68" t="s">
        <v>69</v>
      </c>
      <c r="I2" s="68" t="s">
        <v>68</v>
      </c>
      <c r="J2" s="50"/>
    </row>
    <row r="3" spans="1:3" ht="13.5">
      <c r="A3" s="25" t="s">
        <v>37</v>
      </c>
      <c r="B3" s="69"/>
      <c r="C3" s="27"/>
    </row>
    <row r="4" spans="1:9" ht="13.5">
      <c r="A4" s="26" t="s">
        <v>75</v>
      </c>
      <c r="B4" s="27">
        <v>15700</v>
      </c>
      <c r="C4" s="27">
        <v>20250</v>
      </c>
      <c r="D4" s="27">
        <v>8600</v>
      </c>
      <c r="E4" s="27">
        <v>4600</v>
      </c>
      <c r="G4" s="27">
        <v>5900</v>
      </c>
      <c r="H4" s="27">
        <f>12300+42016.8</f>
        <v>54316.8</v>
      </c>
      <c r="I4" s="27">
        <f>(50000/6)+9850</f>
        <v>18183.333333333336</v>
      </c>
    </row>
    <row r="5" spans="1:3" ht="13.5">
      <c r="A5" s="26" t="s">
        <v>59</v>
      </c>
      <c r="C5" s="27"/>
    </row>
    <row r="6" spans="1:4" ht="13.5">
      <c r="A6" s="26" t="s">
        <v>55</v>
      </c>
      <c r="C6" s="27">
        <v>1000</v>
      </c>
      <c r="D6" s="27">
        <v>5000</v>
      </c>
    </row>
    <row r="7" spans="1:9" ht="14.25" thickBot="1">
      <c r="A7" s="70" t="s">
        <v>51</v>
      </c>
      <c r="B7" s="27">
        <f aca="true" t="shared" si="0" ref="B7:I7">0.19*(B4+B6)</f>
        <v>2983</v>
      </c>
      <c r="C7" s="27">
        <f t="shared" si="0"/>
        <v>4037.5</v>
      </c>
      <c r="D7" s="27">
        <f t="shared" si="0"/>
        <v>2584</v>
      </c>
      <c r="E7" s="27">
        <f t="shared" si="0"/>
        <v>874</v>
      </c>
      <c r="F7" s="27">
        <f t="shared" si="0"/>
        <v>0</v>
      </c>
      <c r="G7" s="27">
        <f t="shared" si="0"/>
        <v>1121</v>
      </c>
      <c r="H7" s="27">
        <f>0.19*(H4+H6)</f>
        <v>10320.192000000001</v>
      </c>
      <c r="I7" s="27">
        <f t="shared" si="0"/>
        <v>3454.833333333334</v>
      </c>
    </row>
    <row r="8" spans="1:9" ht="14.25" thickBot="1">
      <c r="A8" s="49" t="s">
        <v>52</v>
      </c>
      <c r="B8" s="71">
        <f aca="true" t="shared" si="1" ref="B8:I8">SUM(B4:B7)</f>
        <v>18683</v>
      </c>
      <c r="C8" s="72">
        <f t="shared" si="1"/>
        <v>25287.5</v>
      </c>
      <c r="D8" s="71">
        <f t="shared" si="1"/>
        <v>16184</v>
      </c>
      <c r="E8" s="72">
        <f t="shared" si="1"/>
        <v>5474</v>
      </c>
      <c r="F8" s="71">
        <f t="shared" si="1"/>
        <v>0</v>
      </c>
      <c r="G8" s="72">
        <f t="shared" si="1"/>
        <v>7021</v>
      </c>
      <c r="H8" s="71">
        <f t="shared" si="1"/>
        <v>64636.992000000006</v>
      </c>
      <c r="I8" s="72">
        <f t="shared" si="1"/>
        <v>21638.16666666667</v>
      </c>
    </row>
    <row r="9" spans="1:3" ht="13.5">
      <c r="A9" s="54"/>
      <c r="C9" s="27"/>
    </row>
    <row r="10" spans="1:3" ht="13.5">
      <c r="A10" s="25" t="s">
        <v>38</v>
      </c>
      <c r="B10" s="69"/>
      <c r="C10" s="27"/>
    </row>
    <row r="11" spans="1:9" ht="13.5">
      <c r="A11" s="26" t="s">
        <v>11</v>
      </c>
      <c r="B11" s="27">
        <v>800</v>
      </c>
      <c r="C11" s="27">
        <v>800</v>
      </c>
      <c r="D11" s="27">
        <v>800</v>
      </c>
      <c r="E11" s="27">
        <v>800</v>
      </c>
      <c r="G11" s="27">
        <v>800</v>
      </c>
      <c r="H11" s="27">
        <v>800</v>
      </c>
      <c r="I11" s="27">
        <v>800</v>
      </c>
    </row>
    <row r="12" spans="1:9" ht="13.5">
      <c r="A12" s="26" t="s">
        <v>12</v>
      </c>
      <c r="B12" s="27">
        <v>11590</v>
      </c>
      <c r="C12" s="27">
        <v>11590</v>
      </c>
      <c r="D12" s="27">
        <v>11590</v>
      </c>
      <c r="E12" s="27">
        <v>11823.7</v>
      </c>
      <c r="G12" s="27">
        <v>11823.7</v>
      </c>
      <c r="H12" s="27">
        <v>11823.7</v>
      </c>
      <c r="I12" s="27">
        <v>11823.7</v>
      </c>
    </row>
    <row r="13" spans="1:9" ht="13.5">
      <c r="A13" s="26" t="s">
        <v>13</v>
      </c>
      <c r="C13" s="27">
        <v>2000</v>
      </c>
      <c r="G13" s="27">
        <v>6000</v>
      </c>
      <c r="I13" s="27">
        <v>6000</v>
      </c>
    </row>
    <row r="14" spans="1:3" ht="13.5">
      <c r="A14" s="26" t="s">
        <v>45</v>
      </c>
      <c r="C14" s="27">
        <v>136.4</v>
      </c>
    </row>
    <row r="15" spans="1:3" ht="13.5">
      <c r="A15" s="26" t="s">
        <v>30</v>
      </c>
      <c r="B15" s="27">
        <v>1000</v>
      </c>
      <c r="C15" s="27"/>
    </row>
    <row r="16" spans="1:9" ht="13.5">
      <c r="A16" s="26" t="s">
        <v>36</v>
      </c>
      <c r="B16" s="27">
        <v>46</v>
      </c>
      <c r="C16" s="27">
        <v>46</v>
      </c>
      <c r="D16" s="27">
        <v>46</v>
      </c>
      <c r="E16" s="27">
        <v>46</v>
      </c>
      <c r="G16" s="27">
        <v>46</v>
      </c>
      <c r="H16" s="27">
        <v>46</v>
      </c>
      <c r="I16" s="27">
        <v>46</v>
      </c>
    </row>
    <row r="17" spans="1:9" ht="13.5">
      <c r="A17" s="26" t="s">
        <v>48</v>
      </c>
      <c r="B17" s="27">
        <v>350</v>
      </c>
      <c r="C17" s="27">
        <v>150</v>
      </c>
      <c r="D17" s="27">
        <v>150</v>
      </c>
      <c r="E17" s="27">
        <v>150</v>
      </c>
      <c r="G17" s="27">
        <v>150</v>
      </c>
      <c r="H17" s="27">
        <v>150</v>
      </c>
      <c r="I17" s="27">
        <v>150</v>
      </c>
    </row>
    <row r="18" spans="1:10" ht="13.5">
      <c r="A18" s="41" t="s">
        <v>14</v>
      </c>
      <c r="B18" s="73">
        <v>200</v>
      </c>
      <c r="C18" s="73">
        <v>200</v>
      </c>
      <c r="D18" s="73">
        <v>200</v>
      </c>
      <c r="E18" s="73">
        <v>200</v>
      </c>
      <c r="F18" s="74"/>
      <c r="G18" s="74">
        <v>200</v>
      </c>
      <c r="H18" s="74">
        <v>200</v>
      </c>
      <c r="I18" s="74">
        <v>200</v>
      </c>
      <c r="J18" s="41"/>
    </row>
    <row r="19" spans="1:9" ht="14.25" thickBot="1">
      <c r="A19" s="75" t="s">
        <v>51</v>
      </c>
      <c r="B19" s="74">
        <f>(B11+B15+B16+B17+B18)*0.19</f>
        <v>455.24</v>
      </c>
      <c r="C19" s="27">
        <f>(C11+C14+C16+C17+C18)*0.19</f>
        <v>253.15600000000003</v>
      </c>
      <c r="D19" s="73">
        <f>(D11+D16+D17+D18)*0.19</f>
        <v>227.24</v>
      </c>
      <c r="E19" s="73">
        <f>(E11+E16+E17+E18)*0.19</f>
        <v>227.24</v>
      </c>
      <c r="F19" s="73"/>
      <c r="G19" s="73">
        <f>(G11+G16+G17+G18)*0.19</f>
        <v>227.24</v>
      </c>
      <c r="H19" s="73">
        <f>(H11+H16+H17+H18)*0.19</f>
        <v>227.24</v>
      </c>
      <c r="I19" s="73">
        <f>(I11+I16+I17+I18)*0.19</f>
        <v>227.24</v>
      </c>
    </row>
    <row r="20" spans="1:9" ht="14.25" thickBot="1">
      <c r="A20" s="49" t="s">
        <v>49</v>
      </c>
      <c r="B20" s="71">
        <f>SUM(B11:B19)</f>
        <v>14441.24</v>
      </c>
      <c r="C20" s="72">
        <f>SUM(C11:C19)</f>
        <v>15175.556</v>
      </c>
      <c r="D20" s="71">
        <f aca="true" t="shared" si="2" ref="D20:I20">SUM(D11:D19)</f>
        <v>13013.24</v>
      </c>
      <c r="E20" s="72">
        <f t="shared" si="2"/>
        <v>13246.94</v>
      </c>
      <c r="F20" s="71">
        <f t="shared" si="2"/>
        <v>0</v>
      </c>
      <c r="G20" s="72">
        <f t="shared" si="2"/>
        <v>19246.940000000002</v>
      </c>
      <c r="H20" s="71">
        <f t="shared" si="2"/>
        <v>13246.94</v>
      </c>
      <c r="I20" s="72">
        <f t="shared" si="2"/>
        <v>19246.940000000002</v>
      </c>
    </row>
    <row r="21" ht="14.25" thickBot="1">
      <c r="C21" s="27"/>
    </row>
    <row r="22" spans="1:9" ht="14.25" thickBot="1">
      <c r="A22" s="49" t="s">
        <v>39</v>
      </c>
      <c r="B22" s="72">
        <f aca="true" t="shared" si="3" ref="B22:I22">B8-B20</f>
        <v>4241.76</v>
      </c>
      <c r="C22" s="72">
        <f t="shared" si="3"/>
        <v>10111.944</v>
      </c>
      <c r="D22" s="72">
        <f t="shared" si="3"/>
        <v>3170.76</v>
      </c>
      <c r="E22" s="72">
        <f t="shared" si="3"/>
        <v>-7772.9400000000005</v>
      </c>
      <c r="F22" s="72">
        <f t="shared" si="3"/>
        <v>0</v>
      </c>
      <c r="G22" s="72">
        <f t="shared" si="3"/>
        <v>-12225.940000000002</v>
      </c>
      <c r="H22" s="72">
        <f t="shared" si="3"/>
        <v>51390.052</v>
      </c>
      <c r="I22" s="72">
        <f t="shared" si="3"/>
        <v>2391.226666666669</v>
      </c>
    </row>
    <row r="23" spans="1:10" ht="13.5">
      <c r="A23" s="25" t="s">
        <v>40</v>
      </c>
      <c r="B23" s="76">
        <f>Investeringsbegroting!H5</f>
        <v>5596.43</v>
      </c>
      <c r="C23" s="67">
        <f aca="true" t="shared" si="4" ref="C23:I23">B25</f>
        <v>9838.19</v>
      </c>
      <c r="D23" s="67">
        <f t="shared" si="4"/>
        <v>19950.134</v>
      </c>
      <c r="E23" s="76">
        <f t="shared" si="4"/>
        <v>23120.894</v>
      </c>
      <c r="F23" s="67">
        <f t="shared" si="4"/>
        <v>15347.954</v>
      </c>
      <c r="G23" s="67">
        <f t="shared" si="4"/>
        <v>15347.954</v>
      </c>
      <c r="H23" s="76">
        <f t="shared" si="4"/>
        <v>3122.0139999999974</v>
      </c>
      <c r="I23" s="67">
        <f t="shared" si="4"/>
        <v>54512.066</v>
      </c>
      <c r="J23" s="50"/>
    </row>
    <row r="24" spans="1:10" ht="14.25" thickBot="1">
      <c r="A24" s="25" t="s">
        <v>33</v>
      </c>
      <c r="B24" s="76"/>
      <c r="C24" s="67"/>
      <c r="D24" s="67"/>
      <c r="E24" s="67"/>
      <c r="F24" s="67"/>
      <c r="G24" s="67"/>
      <c r="H24" s="67"/>
      <c r="I24" s="67"/>
      <c r="J24" s="50"/>
    </row>
    <row r="25" spans="1:9" ht="14.25" thickBot="1">
      <c r="A25" s="49" t="s">
        <v>118</v>
      </c>
      <c r="B25" s="72">
        <f>B23+B22</f>
        <v>9838.19</v>
      </c>
      <c r="C25" s="72">
        <f>C23+C22</f>
        <v>19950.134</v>
      </c>
      <c r="D25" s="72">
        <f aca="true" t="shared" si="5" ref="D25:I25">D23+D22</f>
        <v>23120.894</v>
      </c>
      <c r="E25" s="72">
        <f t="shared" si="5"/>
        <v>15347.954</v>
      </c>
      <c r="F25" s="72">
        <f t="shared" si="5"/>
        <v>15347.954</v>
      </c>
      <c r="G25" s="72">
        <f t="shared" si="5"/>
        <v>3122.0139999999974</v>
      </c>
      <c r="H25" s="72">
        <f t="shared" si="5"/>
        <v>54512.066</v>
      </c>
      <c r="I25" s="77">
        <f t="shared" si="5"/>
        <v>56903.29266666667</v>
      </c>
    </row>
    <row r="26" ht="13.5">
      <c r="C26" s="27"/>
    </row>
    <row r="27" spans="1:9" ht="13.5">
      <c r="A27" s="25" t="s">
        <v>56</v>
      </c>
      <c r="B27" s="27">
        <f>B7</f>
        <v>2983</v>
      </c>
      <c r="C27" s="27">
        <f aca="true" t="shared" si="6" ref="C27:I27">B27+C7</f>
        <v>7020.5</v>
      </c>
      <c r="D27" s="27">
        <f t="shared" si="6"/>
        <v>9604.5</v>
      </c>
      <c r="E27" s="27">
        <f t="shared" si="6"/>
        <v>10478.5</v>
      </c>
      <c r="F27" s="27">
        <f t="shared" si="6"/>
        <v>10478.5</v>
      </c>
      <c r="G27" s="27">
        <f t="shared" si="6"/>
        <v>11599.5</v>
      </c>
      <c r="H27" s="27">
        <f>G27+H7</f>
        <v>21919.692000000003</v>
      </c>
      <c r="I27" s="27">
        <f t="shared" si="6"/>
        <v>25374.52533333334</v>
      </c>
    </row>
    <row r="28" spans="1:9" ht="14.25" thickBot="1">
      <c r="A28" s="25" t="s">
        <v>57</v>
      </c>
      <c r="B28" s="27">
        <f>Openingsbalans!C10+Liquiditeitsrekening!B19</f>
        <v>2355.81</v>
      </c>
      <c r="C28" s="27">
        <f aca="true" t="shared" si="7" ref="C28:I28">B28+C19</f>
        <v>2608.966</v>
      </c>
      <c r="D28" s="27">
        <f t="shared" si="7"/>
        <v>2836.206</v>
      </c>
      <c r="E28" s="27">
        <f t="shared" si="7"/>
        <v>3063.446</v>
      </c>
      <c r="F28" s="27">
        <f t="shared" si="7"/>
        <v>3063.446</v>
      </c>
      <c r="G28" s="27">
        <f t="shared" si="7"/>
        <v>3290.6859999999997</v>
      </c>
      <c r="H28" s="27">
        <f>G28+H19</f>
        <v>3517.9259999999995</v>
      </c>
      <c r="I28" s="27">
        <f t="shared" si="7"/>
        <v>3745.1659999999993</v>
      </c>
    </row>
    <row r="29" spans="1:9" ht="14.25" thickBot="1">
      <c r="A29" s="49" t="s">
        <v>58</v>
      </c>
      <c r="B29" s="78">
        <f>B27-B28</f>
        <v>627.19</v>
      </c>
      <c r="C29" s="78">
        <f aca="true" t="shared" si="8" ref="C29:I29">C27-C28</f>
        <v>4411.534</v>
      </c>
      <c r="D29" s="78">
        <f t="shared" si="8"/>
        <v>6768.294</v>
      </c>
      <c r="E29" s="78">
        <f t="shared" si="8"/>
        <v>7415.054</v>
      </c>
      <c r="F29" s="78">
        <f t="shared" si="8"/>
        <v>7415.054</v>
      </c>
      <c r="G29" s="78">
        <f t="shared" si="8"/>
        <v>8308.814</v>
      </c>
      <c r="H29" s="78">
        <f t="shared" si="8"/>
        <v>18401.766000000003</v>
      </c>
      <c r="I29" s="65">
        <f t="shared" si="8"/>
        <v>21629.35933333334</v>
      </c>
    </row>
    <row r="30" spans="2:9" ht="13.5">
      <c r="B30" s="26"/>
      <c r="D30" s="26"/>
      <c r="E30" s="26"/>
      <c r="F30" s="26"/>
      <c r="G30" s="26"/>
      <c r="H30" s="26"/>
      <c r="I30" s="26"/>
    </row>
    <row r="31" spans="1:10" ht="13.5">
      <c r="A31" s="108"/>
      <c r="B31" s="109"/>
      <c r="C31" s="109"/>
      <c r="D31" s="109"/>
      <c r="E31" s="109"/>
      <c r="F31" s="109"/>
      <c r="G31" s="109"/>
      <c r="H31" s="109"/>
      <c r="I31" s="109"/>
      <c r="J31" s="79"/>
    </row>
    <row r="32" spans="1:10" ht="13.5">
      <c r="A32" s="79"/>
      <c r="B32" s="79"/>
      <c r="C32" s="79"/>
      <c r="D32" s="79"/>
      <c r="E32" s="79"/>
      <c r="F32" s="79"/>
      <c r="G32" s="79"/>
      <c r="H32" s="79"/>
      <c r="I32" s="79"/>
      <c r="J32" s="79"/>
    </row>
    <row r="33" ht="13.5">
      <c r="C33" s="27"/>
    </row>
  </sheetData>
  <mergeCells count="2">
    <mergeCell ref="C1:G1"/>
    <mergeCell ref="A31:I3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28" sqref="E28"/>
    </sheetView>
  </sheetViews>
  <sheetFormatPr defaultColWidth="9.140625" defaultRowHeight="12.75"/>
  <cols>
    <col min="1" max="1" width="15.140625" style="26" bestFit="1" customWidth="1"/>
    <col min="2" max="2" width="9.140625" style="26" customWidth="1"/>
    <col min="3" max="3" width="10.57421875" style="27" bestFit="1" customWidth="1"/>
    <col min="4" max="4" width="30.7109375" style="26" bestFit="1" customWidth="1"/>
    <col min="5" max="5" width="10.57421875" style="27" bestFit="1" customWidth="1"/>
    <col min="6" max="16384" width="9.140625" style="26" customWidth="1"/>
  </cols>
  <sheetData>
    <row r="1" spans="1:7" ht="14.25">
      <c r="A1" s="99" t="s">
        <v>99</v>
      </c>
      <c r="B1" s="110"/>
      <c r="C1" s="110"/>
      <c r="D1" s="110"/>
      <c r="E1" s="110"/>
      <c r="F1" s="80"/>
      <c r="G1" s="80"/>
    </row>
    <row r="2" spans="1:7" ht="13.5">
      <c r="A2" s="80"/>
      <c r="B2" s="80"/>
      <c r="C2" s="86"/>
      <c r="D2" s="80"/>
      <c r="E2" s="86"/>
      <c r="F2" s="80"/>
      <c r="G2" s="80"/>
    </row>
    <row r="3" spans="1:7" ht="14.25">
      <c r="A3" s="89" t="s">
        <v>0</v>
      </c>
      <c r="B3" s="111" t="s">
        <v>100</v>
      </c>
      <c r="C3" s="112"/>
      <c r="D3" s="112"/>
      <c r="E3" s="69" t="s">
        <v>1</v>
      </c>
      <c r="F3"/>
      <c r="G3"/>
    </row>
    <row r="4" spans="1:5" ht="13.5">
      <c r="A4" s="83" t="s">
        <v>7</v>
      </c>
      <c r="D4" s="87" t="s">
        <v>95</v>
      </c>
      <c r="E4" s="90"/>
    </row>
    <row r="5" spans="1:6" ht="13.5">
      <c r="A5" s="28" t="s">
        <v>2</v>
      </c>
      <c r="B5" s="82"/>
      <c r="C5" s="27">
        <f>Openingsbalans!C5-Resultatenrekening!D17</f>
        <v>9460.534722222223</v>
      </c>
      <c r="D5" s="88" t="s">
        <v>70</v>
      </c>
      <c r="E5" s="91">
        <v>18000</v>
      </c>
      <c r="F5" s="82"/>
    </row>
    <row r="6" spans="1:6" ht="13.5">
      <c r="A6" s="28" t="s">
        <v>6</v>
      </c>
      <c r="C6" s="27">
        <v>350</v>
      </c>
      <c r="D6" s="88" t="s">
        <v>53</v>
      </c>
      <c r="E6" s="91">
        <f>Resultatenrekening!D25</f>
        <v>284.34816613247926</v>
      </c>
      <c r="F6" s="82"/>
    </row>
    <row r="7" spans="1:6" ht="13.5">
      <c r="A7" s="28" t="s">
        <v>61</v>
      </c>
      <c r="C7" s="27">
        <f>1000-Resultatenrekening!D18</f>
        <v>912.5846153846154</v>
      </c>
      <c r="D7" s="81"/>
      <c r="E7" s="91"/>
      <c r="F7" s="82"/>
    </row>
    <row r="8" spans="4:6" ht="13.5">
      <c r="D8" s="81"/>
      <c r="E8" s="91"/>
      <c r="F8" s="82"/>
    </row>
    <row r="9" spans="1:6" ht="13.5">
      <c r="A9" s="84" t="s">
        <v>35</v>
      </c>
      <c r="D9" s="85" t="s">
        <v>96</v>
      </c>
      <c r="E9" s="92"/>
      <c r="F9" s="84"/>
    </row>
    <row r="10" spans="1:6" ht="13.5">
      <c r="A10" s="28" t="s">
        <v>60</v>
      </c>
      <c r="C10" s="27">
        <f>Liquiditeitsrekening!B28</f>
        <v>2355.81</v>
      </c>
      <c r="D10" s="81"/>
      <c r="E10" s="91"/>
      <c r="F10" s="82"/>
    </row>
    <row r="11" spans="2:4" ht="13.5">
      <c r="B11" s="82"/>
      <c r="D11" s="51"/>
    </row>
    <row r="12" spans="1:6" ht="13.5">
      <c r="A12" s="84" t="s">
        <v>5</v>
      </c>
      <c r="B12" s="82"/>
      <c r="D12" s="81" t="s">
        <v>97</v>
      </c>
      <c r="E12" s="91"/>
      <c r="F12" s="82"/>
    </row>
    <row r="13" spans="1:5" ht="13.5">
      <c r="A13" s="28" t="s">
        <v>44</v>
      </c>
      <c r="C13" s="27">
        <f>Liquiditeitsrekening!B25</f>
        <v>9838.19</v>
      </c>
      <c r="D13" s="88" t="s">
        <v>101</v>
      </c>
      <c r="E13" s="91">
        <f>Resultatenrekening!D22</f>
        <v>149.7711714743593</v>
      </c>
    </row>
    <row r="14" spans="1:5" ht="13.5">
      <c r="A14" s="28" t="s">
        <v>34</v>
      </c>
      <c r="C14" s="27">
        <v>500</v>
      </c>
      <c r="D14" s="88" t="s">
        <v>98</v>
      </c>
      <c r="E14" s="91">
        <f>Liquiditeitsrekening!B27</f>
        <v>2983</v>
      </c>
    </row>
    <row r="15" spans="1:5" ht="13.5">
      <c r="A15" s="47"/>
      <c r="B15" s="47"/>
      <c r="C15" s="48"/>
      <c r="D15" s="93" t="s">
        <v>111</v>
      </c>
      <c r="E15" s="34">
        <f>Resultatenrekening!D13</f>
        <v>2000</v>
      </c>
    </row>
    <row r="16" spans="3:5" ht="13.5">
      <c r="C16" s="27">
        <f>SUM(C5:C15)</f>
        <v>23417.11933760684</v>
      </c>
      <c r="E16" s="27">
        <f>SUM(E5:E15)</f>
        <v>23417.11933760684</v>
      </c>
    </row>
    <row r="17" spans="1:7" ht="14.25">
      <c r="A17"/>
      <c r="B17"/>
      <c r="C17" s="1"/>
      <c r="D17"/>
      <c r="E17" s="1"/>
      <c r="F17"/>
      <c r="G17"/>
    </row>
    <row r="18" spans="1:7" ht="14.25">
      <c r="A18"/>
      <c r="B18"/>
      <c r="C18" s="1"/>
      <c r="D18"/>
      <c r="E18" s="1"/>
      <c r="F18"/>
      <c r="G18"/>
    </row>
  </sheetData>
  <mergeCells count="2">
    <mergeCell ref="A1:E1"/>
    <mergeCell ref="B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33" sqref="B33"/>
    </sheetView>
  </sheetViews>
  <sheetFormatPr defaultColWidth="9.140625" defaultRowHeight="12.75"/>
  <cols>
    <col min="1" max="1" width="15.140625" style="0" bestFit="1" customWidth="1"/>
    <col min="3" max="3" width="10.57421875" style="0" bestFit="1" customWidth="1"/>
    <col min="4" max="4" width="30.7109375" style="0" bestFit="1" customWidth="1"/>
    <col min="5" max="5" width="10.57421875" style="0" bestFit="1" customWidth="1"/>
  </cols>
  <sheetData>
    <row r="1" spans="1:5" ht="14.25">
      <c r="A1" s="99" t="s">
        <v>99</v>
      </c>
      <c r="B1" s="110"/>
      <c r="C1" s="110"/>
      <c r="D1" s="110"/>
      <c r="E1" s="110"/>
    </row>
    <row r="2" spans="1:5" ht="14.25">
      <c r="A2" s="80"/>
      <c r="B2" s="80"/>
      <c r="C2" s="86"/>
      <c r="D2" s="80"/>
      <c r="E2" s="86"/>
    </row>
    <row r="3" spans="1:5" ht="14.25">
      <c r="A3" s="89" t="s">
        <v>0</v>
      </c>
      <c r="B3" s="111" t="s">
        <v>112</v>
      </c>
      <c r="C3" s="112"/>
      <c r="D3" s="112"/>
      <c r="E3" s="69" t="s">
        <v>1</v>
      </c>
    </row>
    <row r="4" spans="1:5" ht="14.25">
      <c r="A4" s="83" t="s">
        <v>7</v>
      </c>
      <c r="B4" s="26"/>
      <c r="C4" s="27"/>
      <c r="D4" s="87" t="s">
        <v>95</v>
      </c>
      <c r="E4" s="90"/>
    </row>
    <row r="5" spans="1:5" ht="14.25">
      <c r="A5" s="28" t="s">
        <v>2</v>
      </c>
      <c r="B5" s="82"/>
      <c r="C5" s="27">
        <f>'Balans Januari'!C5-Resultatenrekening!F17</f>
        <v>9268.069444444445</v>
      </c>
      <c r="D5" s="88" t="s">
        <v>70</v>
      </c>
      <c r="E5" s="91">
        <v>18000</v>
      </c>
    </row>
    <row r="6" spans="1:5" ht="14.25">
      <c r="A6" s="28" t="s">
        <v>6</v>
      </c>
      <c r="B6" s="26"/>
      <c r="C6" s="27">
        <v>350</v>
      </c>
      <c r="D6" s="88" t="s">
        <v>53</v>
      </c>
      <c r="E6" s="91">
        <f>Resultatenrekening!F25</f>
        <v>4334.946332264959</v>
      </c>
    </row>
    <row r="7" spans="1:5" ht="14.25">
      <c r="A7" s="28" t="s">
        <v>61</v>
      </c>
      <c r="B7" s="26"/>
      <c r="C7" s="27">
        <f>'Balans Januari'!C7-Resultatenrekening!F18+136.4</f>
        <v>961.5692307692308</v>
      </c>
      <c r="D7" s="81"/>
      <c r="E7" s="91"/>
    </row>
    <row r="8" spans="1:5" ht="14.25">
      <c r="A8" s="26"/>
      <c r="B8" s="26"/>
      <c r="C8" s="27"/>
      <c r="D8" s="81"/>
      <c r="E8" s="91"/>
    </row>
    <row r="9" spans="1:5" ht="14.25">
      <c r="A9" s="84" t="s">
        <v>35</v>
      </c>
      <c r="B9" s="26"/>
      <c r="C9" s="27"/>
      <c r="D9" s="85" t="s">
        <v>96</v>
      </c>
      <c r="E9" s="92"/>
    </row>
    <row r="10" spans="1:5" ht="14.25">
      <c r="A10" s="28" t="s">
        <v>60</v>
      </c>
      <c r="B10" s="26"/>
      <c r="C10" s="27">
        <f>Liquiditeitsrekening!C28</f>
        <v>2608.966</v>
      </c>
      <c r="D10" s="81"/>
      <c r="E10" s="91"/>
    </row>
    <row r="11" spans="1:5" ht="14.25">
      <c r="A11" s="26"/>
      <c r="B11" s="82"/>
      <c r="C11" s="27"/>
      <c r="D11" s="51"/>
      <c r="E11" s="27"/>
    </row>
    <row r="12" spans="1:5" ht="14.25">
      <c r="A12" s="84" t="s">
        <v>5</v>
      </c>
      <c r="B12" s="82"/>
      <c r="C12" s="27"/>
      <c r="D12" s="81" t="s">
        <v>97</v>
      </c>
      <c r="E12" s="91"/>
    </row>
    <row r="13" spans="1:5" ht="14.25">
      <c r="A13" s="28" t="s">
        <v>44</v>
      </c>
      <c r="B13" s="26"/>
      <c r="C13" s="27">
        <f>Liquiditeitsrekening!D23</f>
        <v>19950.134</v>
      </c>
      <c r="D13" s="88" t="s">
        <v>101</v>
      </c>
      <c r="E13" s="91">
        <f>Resultatenrekening!F26</f>
        <v>2283.292342948718</v>
      </c>
    </row>
    <row r="14" spans="1:5" ht="14.25">
      <c r="A14" s="28" t="s">
        <v>34</v>
      </c>
      <c r="B14" s="26"/>
      <c r="C14" s="27">
        <v>500</v>
      </c>
      <c r="D14" s="88" t="s">
        <v>98</v>
      </c>
      <c r="E14" s="91">
        <f>Liquiditeitsrekening!C27</f>
        <v>7020.5</v>
      </c>
    </row>
    <row r="15" spans="1:5" ht="14.25">
      <c r="A15" s="47"/>
      <c r="B15" s="47"/>
      <c r="C15" s="48"/>
      <c r="D15" s="93" t="s">
        <v>111</v>
      </c>
      <c r="E15" s="34">
        <f>Resultatenrekening!F13</f>
        <v>2000</v>
      </c>
    </row>
    <row r="16" spans="1:5" ht="14.25">
      <c r="A16" s="26"/>
      <c r="B16" s="26"/>
      <c r="C16" s="27">
        <f>SUM(C5:C15)</f>
        <v>33638.73867521367</v>
      </c>
      <c r="D16" s="26"/>
      <c r="E16" s="27">
        <f>SUM(E5:E15)</f>
        <v>33638.73867521368</v>
      </c>
    </row>
    <row r="21" ht="12.75">
      <c r="E21" s="94"/>
    </row>
    <row r="22" ht="12.75">
      <c r="E22" s="94"/>
    </row>
  </sheetData>
  <mergeCells count="2">
    <mergeCell ref="A1:E1"/>
    <mergeCell ref="B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10" sqref="C10"/>
    </sheetView>
  </sheetViews>
  <sheetFormatPr defaultColWidth="9.140625" defaultRowHeight="12.75"/>
  <cols>
    <col min="1" max="1" width="15.140625" style="0" bestFit="1" customWidth="1"/>
    <col min="3" max="3" width="10.57421875" style="0" bestFit="1" customWidth="1"/>
    <col min="4" max="4" width="30.7109375" style="0" bestFit="1" customWidth="1"/>
    <col min="5" max="5" width="10.8515625" style="0" bestFit="1" customWidth="1"/>
  </cols>
  <sheetData>
    <row r="1" spans="1:5" ht="14.25">
      <c r="A1" s="99" t="s">
        <v>99</v>
      </c>
      <c r="B1" s="110"/>
      <c r="C1" s="110"/>
      <c r="D1" s="110"/>
      <c r="E1" s="110"/>
    </row>
    <row r="2" spans="1:5" ht="14.25">
      <c r="A2" s="80"/>
      <c r="B2" s="80"/>
      <c r="C2" s="86"/>
      <c r="D2" s="80"/>
      <c r="E2" s="86"/>
    </row>
    <row r="3" spans="1:5" ht="14.25">
      <c r="A3" s="89" t="s">
        <v>0</v>
      </c>
      <c r="B3" s="111" t="s">
        <v>114</v>
      </c>
      <c r="C3" s="112"/>
      <c r="D3" s="112"/>
      <c r="E3" s="69" t="s">
        <v>1</v>
      </c>
    </row>
    <row r="4" spans="1:5" ht="14.25">
      <c r="A4" s="83" t="s">
        <v>7</v>
      </c>
      <c r="B4" s="26"/>
      <c r="C4" s="27"/>
      <c r="D4" s="87" t="s">
        <v>95</v>
      </c>
      <c r="E4" s="90"/>
    </row>
    <row r="5" spans="1:5" ht="14.25">
      <c r="A5" s="28" t="s">
        <v>2</v>
      </c>
      <c r="B5" s="82"/>
      <c r="C5" s="27">
        <f>'Balans Februari'!C5-Resultatenrekening!H17</f>
        <v>9075.604166666668</v>
      </c>
      <c r="D5" s="88" t="s">
        <v>70</v>
      </c>
      <c r="E5" s="91">
        <v>18000</v>
      </c>
    </row>
    <row r="6" spans="1:5" ht="14.25">
      <c r="A6" s="28" t="s">
        <v>6</v>
      </c>
      <c r="B6" s="26"/>
      <c r="C6" s="27">
        <v>350</v>
      </c>
      <c r="D6" s="88" t="s">
        <v>53</v>
      </c>
      <c r="E6" s="91">
        <f>Resultatenrekening!H25</f>
        <v>2869.0656698717976</v>
      </c>
    </row>
    <row r="7" spans="1:5" ht="14.25">
      <c r="A7" s="28" t="s">
        <v>61</v>
      </c>
      <c r="B7" s="26"/>
      <c r="C7" s="27">
        <f>'Balans Februari'!C7-Resultatenrekening!F18</f>
        <v>874.1538461538462</v>
      </c>
      <c r="D7" s="81"/>
      <c r="E7" s="91"/>
    </row>
    <row r="8" spans="1:5" ht="14.25">
      <c r="A8" s="26"/>
      <c r="B8" s="26"/>
      <c r="C8" s="27"/>
      <c r="D8" s="81"/>
      <c r="E8" s="91"/>
    </row>
    <row r="9" spans="1:5" ht="14.25">
      <c r="A9" s="84" t="s">
        <v>35</v>
      </c>
      <c r="B9" s="26"/>
      <c r="C9" s="27"/>
      <c r="D9" s="85" t="s">
        <v>96</v>
      </c>
      <c r="E9" s="92"/>
    </row>
    <row r="10" spans="1:5" ht="14.25">
      <c r="A10" s="28" t="s">
        <v>60</v>
      </c>
      <c r="B10" s="26"/>
      <c r="C10" s="27">
        <f>Liquiditeitsrekening!D28</f>
        <v>2836.206</v>
      </c>
      <c r="D10" s="81"/>
      <c r="E10" s="91"/>
    </row>
    <row r="11" spans="1:5" ht="14.25">
      <c r="A11" s="26"/>
      <c r="B11" s="82"/>
      <c r="C11" s="27"/>
      <c r="D11" s="51"/>
      <c r="E11" s="27"/>
    </row>
    <row r="12" spans="1:5" ht="14.25">
      <c r="A12" s="84" t="s">
        <v>5</v>
      </c>
      <c r="B12" s="82"/>
      <c r="C12" s="27"/>
      <c r="D12" s="81" t="s">
        <v>97</v>
      </c>
      <c r="E12" s="91"/>
    </row>
    <row r="13" spans="1:5" ht="14.25">
      <c r="A13" s="28" t="s">
        <v>44</v>
      </c>
      <c r="B13" s="26"/>
      <c r="C13" s="27">
        <f>Liquiditeitsrekening!E23</f>
        <v>23120.894</v>
      </c>
      <c r="D13" s="88" t="s">
        <v>101</v>
      </c>
      <c r="E13" s="91">
        <f>Resultatenrekening!H26</f>
        <v>2283.292342948718</v>
      </c>
    </row>
    <row r="14" spans="1:5" ht="14.25">
      <c r="A14" s="28" t="s">
        <v>34</v>
      </c>
      <c r="B14" s="26"/>
      <c r="C14" s="27">
        <v>500</v>
      </c>
      <c r="D14" s="88" t="s">
        <v>98</v>
      </c>
      <c r="E14" s="91">
        <f>Liquiditeitsrekening!D27</f>
        <v>9604.5</v>
      </c>
    </row>
    <row r="15" spans="1:5" ht="14.25">
      <c r="A15" s="47"/>
      <c r="B15" s="47"/>
      <c r="C15" s="48"/>
      <c r="D15" s="93" t="s">
        <v>111</v>
      </c>
      <c r="E15" s="34">
        <v>4000</v>
      </c>
    </row>
    <row r="16" spans="1:5" ht="14.25">
      <c r="A16" s="26"/>
      <c r="B16" s="26"/>
      <c r="C16" s="27">
        <f>SUM(C5:C15)</f>
        <v>36756.858012820514</v>
      </c>
      <c r="D16" s="26"/>
      <c r="E16" s="27">
        <f>SUM(E5:E15)</f>
        <v>36756.858012820514</v>
      </c>
    </row>
    <row r="22" ht="12.75">
      <c r="E22" s="94"/>
    </row>
  </sheetData>
  <mergeCells count="2">
    <mergeCell ref="A1:E1"/>
    <mergeCell ref="B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E26" sqref="E26"/>
    </sheetView>
  </sheetViews>
  <sheetFormatPr defaultColWidth="9.140625" defaultRowHeight="12.75"/>
  <cols>
    <col min="1" max="1" width="15.140625" style="0" bestFit="1" customWidth="1"/>
    <col min="3" max="3" width="10.57421875" style="0" bestFit="1" customWidth="1"/>
    <col min="4" max="4" width="30.7109375" style="0" bestFit="1" customWidth="1"/>
    <col min="5" max="5" width="10.8515625" style="0" bestFit="1" customWidth="1"/>
  </cols>
  <sheetData>
    <row r="1" spans="1:5" ht="14.25">
      <c r="A1" s="99" t="s">
        <v>99</v>
      </c>
      <c r="B1" s="110"/>
      <c r="C1" s="110"/>
      <c r="D1" s="110"/>
      <c r="E1" s="110"/>
    </row>
    <row r="2" spans="1:5" ht="14.25">
      <c r="A2" s="80"/>
      <c r="B2" s="80"/>
      <c r="C2" s="86"/>
      <c r="D2" s="80"/>
      <c r="E2" s="86"/>
    </row>
    <row r="3" spans="1:5" ht="14.25">
      <c r="A3" s="89" t="s">
        <v>0</v>
      </c>
      <c r="B3" s="111" t="s">
        <v>116</v>
      </c>
      <c r="C3" s="112"/>
      <c r="D3" s="112"/>
      <c r="E3" s="69" t="s">
        <v>1</v>
      </c>
    </row>
    <row r="4" spans="1:5" ht="14.25">
      <c r="A4" s="83" t="s">
        <v>7</v>
      </c>
      <c r="B4" s="26"/>
      <c r="C4" s="27"/>
      <c r="D4" s="87" t="s">
        <v>95</v>
      </c>
      <c r="E4" s="90"/>
    </row>
    <row r="5" spans="1:5" ht="14.25">
      <c r="A5" s="28" t="s">
        <v>2</v>
      </c>
      <c r="B5" s="82"/>
      <c r="C5" s="27">
        <f>'Balans Maart'!C5-Resultatenrekening!J17</f>
        <v>8883.13888888889</v>
      </c>
      <c r="D5" s="88" t="s">
        <v>70</v>
      </c>
      <c r="E5" s="91">
        <v>18000</v>
      </c>
    </row>
    <row r="6" spans="1:5" ht="14.25">
      <c r="A6" s="28" t="s">
        <v>6</v>
      </c>
      <c r="B6" s="26"/>
      <c r="C6" s="27">
        <v>350</v>
      </c>
      <c r="D6" s="88" t="s">
        <v>53</v>
      </c>
      <c r="E6" s="91">
        <f>Resultatenrekening!J25</f>
        <v>-7830.514992521365</v>
      </c>
    </row>
    <row r="7" spans="1:5" ht="14.25">
      <c r="A7" s="28" t="s">
        <v>61</v>
      </c>
      <c r="B7" s="26"/>
      <c r="C7" s="27">
        <f>'Balans Maart'!C7-Resultatenrekening!J18</f>
        <v>786.7384615384616</v>
      </c>
      <c r="D7" s="81"/>
      <c r="E7" s="91"/>
    </row>
    <row r="8" spans="1:5" ht="14.25">
      <c r="A8" s="26"/>
      <c r="B8" s="26"/>
      <c r="C8" s="27"/>
      <c r="D8" s="81"/>
      <c r="E8" s="91"/>
    </row>
    <row r="9" spans="1:5" ht="14.25">
      <c r="A9" s="84" t="s">
        <v>35</v>
      </c>
      <c r="B9" s="26"/>
      <c r="C9" s="27"/>
      <c r="D9" s="85" t="s">
        <v>96</v>
      </c>
      <c r="E9" s="92"/>
    </row>
    <row r="10" spans="1:5" ht="14.25">
      <c r="A10" s="28" t="s">
        <v>60</v>
      </c>
      <c r="B10" s="26"/>
      <c r="C10" s="27">
        <f>Liquiditeitsrekening!E28</f>
        <v>3063.446</v>
      </c>
      <c r="D10" s="81"/>
      <c r="E10" s="91"/>
    </row>
    <row r="11" spans="1:5" ht="14.25">
      <c r="A11" s="26"/>
      <c r="B11" s="82"/>
      <c r="C11" s="27"/>
      <c r="D11" s="51"/>
      <c r="E11" s="27"/>
    </row>
    <row r="12" spans="1:5" ht="14.25">
      <c r="A12" s="84" t="s">
        <v>5</v>
      </c>
      <c r="B12" s="82"/>
      <c r="C12" s="27"/>
      <c r="D12" s="81" t="s">
        <v>97</v>
      </c>
      <c r="E12" s="91"/>
    </row>
    <row r="13" spans="1:5" ht="14.25">
      <c r="A13" s="28" t="s">
        <v>44</v>
      </c>
      <c r="B13" s="26"/>
      <c r="C13" s="27">
        <f>Liquiditeitsrekening!F23</f>
        <v>15347.954</v>
      </c>
      <c r="D13" s="88" t="s">
        <v>101</v>
      </c>
      <c r="E13" s="91">
        <f>Resultatenrekening!J26</f>
        <v>2283.292342948718</v>
      </c>
    </row>
    <row r="14" spans="1:5" ht="14.25">
      <c r="A14" s="28" t="s">
        <v>34</v>
      </c>
      <c r="B14" s="26"/>
      <c r="C14" s="27">
        <v>500</v>
      </c>
      <c r="D14" s="88" t="s">
        <v>98</v>
      </c>
      <c r="E14" s="91">
        <f>Liquiditeitsrekening!E27</f>
        <v>10478.5</v>
      </c>
    </row>
    <row r="15" spans="1:5" ht="14.25">
      <c r="A15" s="47"/>
      <c r="B15" s="47"/>
      <c r="C15" s="48"/>
      <c r="D15" s="93" t="s">
        <v>111</v>
      </c>
      <c r="E15" s="34">
        <v>6000</v>
      </c>
    </row>
    <row r="16" spans="1:5" ht="14.25">
      <c r="A16" s="26"/>
      <c r="B16" s="26"/>
      <c r="C16" s="27">
        <f>SUM(C5:C15)</f>
        <v>28931.27735042735</v>
      </c>
      <c r="D16" s="26"/>
      <c r="E16" s="27">
        <f>SUM(E5:E15)</f>
        <v>28931.277350427354</v>
      </c>
    </row>
    <row r="23" ht="12.75">
      <c r="E23" s="94"/>
    </row>
  </sheetData>
  <mergeCells count="2">
    <mergeCell ref="A1:E1"/>
    <mergeCell ref="B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E16"/>
    </sheetView>
  </sheetViews>
  <sheetFormatPr defaultColWidth="9.140625" defaultRowHeight="12.75"/>
  <cols>
    <col min="1" max="1" width="15.140625" style="0" bestFit="1" customWidth="1"/>
    <col min="3" max="3" width="10.57421875" style="0" bestFit="1" customWidth="1"/>
    <col min="4" max="4" width="30.7109375" style="0" bestFit="1" customWidth="1"/>
    <col min="5" max="5" width="10.57421875" style="0" bestFit="1" customWidth="1"/>
  </cols>
  <sheetData>
    <row r="1" spans="1:5" ht="14.25">
      <c r="A1" s="99" t="s">
        <v>99</v>
      </c>
      <c r="B1" s="110"/>
      <c r="C1" s="110"/>
      <c r="D1" s="110"/>
      <c r="E1" s="110"/>
    </row>
    <row r="2" spans="1:5" ht="14.25">
      <c r="A2" s="80"/>
      <c r="B2" s="80"/>
      <c r="C2" s="86"/>
      <c r="D2" s="80"/>
      <c r="E2" s="86"/>
    </row>
    <row r="3" spans="1:5" ht="14.25">
      <c r="A3" s="89" t="s">
        <v>0</v>
      </c>
      <c r="B3" s="111" t="s">
        <v>117</v>
      </c>
      <c r="C3" s="112"/>
      <c r="D3" s="112"/>
      <c r="E3" s="69" t="s">
        <v>1</v>
      </c>
    </row>
    <row r="4" spans="1:5" ht="14.25">
      <c r="A4" s="83" t="s">
        <v>7</v>
      </c>
      <c r="B4" s="26"/>
      <c r="C4" s="27"/>
      <c r="D4" s="87" t="s">
        <v>95</v>
      </c>
      <c r="E4" s="90"/>
    </row>
    <row r="5" spans="1:5" ht="14.25">
      <c r="A5" s="28" t="s">
        <v>2</v>
      </c>
      <c r="B5" s="82"/>
      <c r="C5" s="27">
        <f>'Balans April'!C5-Resultatenrekening!N17</f>
        <v>8690.668888888891</v>
      </c>
      <c r="D5" s="88" t="s">
        <v>70</v>
      </c>
      <c r="E5" s="91">
        <v>18000</v>
      </c>
    </row>
    <row r="6" spans="1:5" ht="14.25">
      <c r="A6" s="28" t="s">
        <v>6</v>
      </c>
      <c r="B6" s="26"/>
      <c r="C6" s="27">
        <v>350</v>
      </c>
      <c r="D6" s="88" t="s">
        <v>53</v>
      </c>
      <c r="E6" s="91">
        <f>Resultatenrekening!N25</f>
        <v>-17230.104992521367</v>
      </c>
    </row>
    <row r="7" spans="1:5" ht="14.25">
      <c r="A7" s="28" t="s">
        <v>61</v>
      </c>
      <c r="B7" s="26"/>
      <c r="C7" s="27">
        <f>'Balans April'!C7-Resultatenrekening!N18</f>
        <v>699.3184615384616</v>
      </c>
      <c r="D7" s="81"/>
      <c r="E7" s="91"/>
    </row>
    <row r="8" spans="1:5" ht="14.25">
      <c r="A8" s="26"/>
      <c r="B8" s="26"/>
      <c r="C8" s="27"/>
      <c r="D8" s="81"/>
      <c r="E8" s="91"/>
    </row>
    <row r="9" spans="1:5" ht="14.25">
      <c r="A9" s="84" t="s">
        <v>35</v>
      </c>
      <c r="B9" s="26"/>
      <c r="C9" s="27"/>
      <c r="D9" s="85" t="s">
        <v>96</v>
      </c>
      <c r="E9" s="92"/>
    </row>
    <row r="10" spans="1:5" ht="14.25">
      <c r="A10" s="28" t="s">
        <v>60</v>
      </c>
      <c r="B10" s="26"/>
      <c r="C10" s="27">
        <f>Liquiditeitsrekening!G28</f>
        <v>3290.6859999999997</v>
      </c>
      <c r="D10" s="81"/>
      <c r="E10" s="91"/>
    </row>
    <row r="11" spans="1:5" ht="14.25">
      <c r="A11" s="26"/>
      <c r="B11" s="82"/>
      <c r="C11" s="27"/>
      <c r="D11" s="51"/>
      <c r="E11" s="27"/>
    </row>
    <row r="12" spans="1:5" ht="14.25">
      <c r="A12" s="84" t="s">
        <v>5</v>
      </c>
      <c r="B12" s="82"/>
      <c r="C12" s="27"/>
      <c r="D12" s="81" t="s">
        <v>97</v>
      </c>
      <c r="E12" s="91"/>
    </row>
    <row r="13" spans="1:5" ht="14.25">
      <c r="A13" s="28" t="s">
        <v>44</v>
      </c>
      <c r="B13" s="26"/>
      <c r="C13" s="27">
        <f>Liquiditeitsrekening!H23</f>
        <v>3122.0139999999974</v>
      </c>
      <c r="D13" s="88" t="s">
        <v>101</v>
      </c>
      <c r="E13" s="91">
        <f>Resultatenrekening!N26</f>
        <v>2283.292342948718</v>
      </c>
    </row>
    <row r="14" spans="1:5" ht="14.25">
      <c r="A14" s="28" t="s">
        <v>34</v>
      </c>
      <c r="B14" s="26"/>
      <c r="C14" s="27">
        <v>500</v>
      </c>
      <c r="D14" s="88" t="s">
        <v>98</v>
      </c>
      <c r="E14" s="91">
        <f>Liquiditeitsrekening!G27</f>
        <v>11599.5</v>
      </c>
    </row>
    <row r="15" spans="1:5" ht="14.25">
      <c r="A15" s="47"/>
      <c r="B15" s="47"/>
      <c r="C15" s="48"/>
      <c r="D15" s="93" t="s">
        <v>111</v>
      </c>
      <c r="E15" s="34">
        <v>2000</v>
      </c>
    </row>
    <row r="16" spans="1:5" ht="14.25">
      <c r="A16" s="26"/>
      <c r="B16" s="26"/>
      <c r="C16" s="27">
        <f>SUM(C5:C15)</f>
        <v>16652.68735042735</v>
      </c>
      <c r="D16" s="26"/>
      <c r="E16" s="27">
        <f>SUM(E5:E15)</f>
        <v>16652.687350427354</v>
      </c>
    </row>
  </sheetData>
  <mergeCells count="2">
    <mergeCell ref="A1:E1"/>
    <mergeCell ref="B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Gerben</dc:creator>
  <cp:keywords/>
  <dc:description/>
  <cp:lastModifiedBy>Gerben</cp:lastModifiedBy>
  <cp:lastPrinted>2004-12-13T21:17:06Z</cp:lastPrinted>
  <dcterms:created xsi:type="dcterms:W3CDTF">2004-11-23T17:02:14Z</dcterms:created>
  <dcterms:modified xsi:type="dcterms:W3CDTF">2005-01-20T17:02:40Z</dcterms:modified>
  <cp:category/>
  <cp:version/>
  <cp:contentType/>
  <cp:contentStatus/>
</cp:coreProperties>
</file>