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720" windowHeight="6540" tabRatio="1000" activeTab="2"/>
  </bookViews>
  <sheets>
    <sheet name="Voorblad" sheetId="1" r:id="rId1"/>
    <sheet name="Algemeen" sheetId="2" r:id="rId2"/>
    <sheet name="Timingen" sheetId="3" r:id="rId3"/>
    <sheet name="Compressie" sheetId="4" r:id="rId4"/>
    <sheet name="Time Area's" sheetId="5" r:id="rId5"/>
    <sheet name="Angle Area's" sheetId="6" r:id="rId6"/>
    <sheet name="Membraanstop" sheetId="7" r:id="rId7"/>
    <sheet name="Overbrengingen" sheetId="8" r:id="rId8"/>
    <sheet name="Uitlaat berekenen" sheetId="9" r:id="rId9"/>
  </sheets>
  <definedNames/>
  <calcPr fullCalcOnLoad="1"/>
</workbook>
</file>

<file path=xl/sharedStrings.xml><?xml version="1.0" encoding="utf-8"?>
<sst xmlns="http://schemas.openxmlformats.org/spreadsheetml/2006/main" count="254" uniqueCount="169">
  <si>
    <t>Timingen</t>
  </si>
  <si>
    <t>Slag</t>
  </si>
  <si>
    <t>Drijfstanglengte</t>
  </si>
  <si>
    <t>Deck height</t>
  </si>
  <si>
    <t>Afstand poort - toprand cilinder</t>
  </si>
  <si>
    <t>Uitlaatpoort</t>
  </si>
  <si>
    <t>Spoelpoort</t>
  </si>
  <si>
    <t>Boostpoort</t>
  </si>
  <si>
    <t>mm</t>
  </si>
  <si>
    <t>graden</t>
  </si>
  <si>
    <t>Uitlaat</t>
  </si>
  <si>
    <t>Spoel</t>
  </si>
  <si>
    <t>Boost</t>
  </si>
  <si>
    <t>Blowdown</t>
  </si>
  <si>
    <t>Slag :</t>
  </si>
  <si>
    <t>Honda NSR50/80</t>
  </si>
  <si>
    <t>Honda MT/B/X 50</t>
  </si>
  <si>
    <t>Honda MT/B 80</t>
  </si>
  <si>
    <t>Honda MTX50/80/r/r2</t>
  </si>
  <si>
    <t>Puch Maxi</t>
  </si>
  <si>
    <t>Zundapp KS50</t>
  </si>
  <si>
    <t>Kreidler</t>
  </si>
  <si>
    <t>Kawasaki AR50</t>
  </si>
  <si>
    <t>Suzuki TS50X</t>
  </si>
  <si>
    <t>Drijfstanglengte :</t>
  </si>
  <si>
    <t>Honda MT/B 50</t>
  </si>
  <si>
    <t>80 / 82</t>
  </si>
  <si>
    <t>Honda MBX</t>
  </si>
  <si>
    <t>Honda NSR</t>
  </si>
  <si>
    <t>Zundapp o.t.</t>
  </si>
  <si>
    <t>Zundapp n.t.</t>
  </si>
  <si>
    <t>Puch</t>
  </si>
  <si>
    <t>Als deze onbekend is kun je ook 2x de slag doen.</t>
  </si>
  <si>
    <t>Boring</t>
  </si>
  <si>
    <t>Echte breedte</t>
  </si>
  <si>
    <t>Poortmapbreedte</t>
  </si>
  <si>
    <t>Onnodige cijfers</t>
  </si>
  <si>
    <t>Poort</t>
  </si>
  <si>
    <t>Uitlaat berekenen</t>
  </si>
  <si>
    <t>Formules van Frits Overmars</t>
  </si>
  <si>
    <t>Temperatuur</t>
  </si>
  <si>
    <t>Uitlaatpoorttiming</t>
  </si>
  <si>
    <t xml:space="preserve">graden </t>
  </si>
  <si>
    <t>tpm</t>
  </si>
  <si>
    <t>Input Data</t>
  </si>
  <si>
    <t>Max. Toerental</t>
  </si>
  <si>
    <t>Min. Toerental</t>
  </si>
  <si>
    <t>Cilinder inhoud</t>
  </si>
  <si>
    <t>Inactieve uitlaatpoorttiming</t>
  </si>
  <si>
    <t>Lengte flens + uitlaatschacht</t>
  </si>
  <si>
    <t>cc</t>
  </si>
  <si>
    <t>2 Stage Diffusor</t>
  </si>
  <si>
    <t>Dia. Data</t>
  </si>
  <si>
    <t>Onnodige data</t>
  </si>
  <si>
    <t>mm tot compression</t>
  </si>
  <si>
    <t>D1</t>
  </si>
  <si>
    <t>Dmax</t>
  </si>
  <si>
    <t>D2</t>
  </si>
  <si>
    <t>Dt</t>
  </si>
  <si>
    <t>Tailpipe ( + / - ) - L7</t>
  </si>
  <si>
    <t>Flens + Schacht - L1</t>
  </si>
  <si>
    <t>Totale lengte</t>
  </si>
  <si>
    <t>Header - L2</t>
  </si>
  <si>
    <t>Diffusor 1 - L3</t>
  </si>
  <si>
    <t>Diffusor 2 - L4</t>
  </si>
  <si>
    <t>Midsection - L5</t>
  </si>
  <si>
    <t>Compression - L6</t>
  </si>
  <si>
    <t>cm</t>
  </si>
  <si>
    <t>Length Data</t>
  </si>
  <si>
    <t>Poortbreedte in % vd. boring</t>
  </si>
  <si>
    <t>%</t>
  </si>
  <si>
    <t>Cilinder inhoud berekenen</t>
  </si>
  <si>
    <t>Inhoud</t>
  </si>
  <si>
    <t>Reedvalve afstand berekenen</t>
  </si>
  <si>
    <t>Doorlaat %</t>
  </si>
  <si>
    <t>Breedte membraanklep</t>
  </si>
  <si>
    <t>Aant. membraankleppen</t>
  </si>
  <si>
    <t>Carburateur grootte ( C )</t>
  </si>
  <si>
    <t>80% Doorlaat % is aanbevolen</t>
  </si>
  <si>
    <t>Poortbreedtes berekenen</t>
  </si>
  <si>
    <t>Afstand plaatje tot membraan ( A )</t>
  </si>
  <si>
    <t>Overbrengingen</t>
  </si>
  <si>
    <t>Ratio</t>
  </si>
  <si>
    <t>1e as</t>
  </si>
  <si>
    <t>2e as</t>
  </si>
  <si>
    <t>Ratio berekenen</t>
  </si>
  <si>
    <t>Je kunt als het om een tandwieloverbrenging gaat ook het aantal tanden invoeren</t>
  </si>
  <si>
    <t>6 Versnellingen ( met ratios )</t>
  </si>
  <si>
    <t>Toerendrop</t>
  </si>
  <si>
    <t>Hierboven kun je omwentelingen invoeren op de eerste en 2e as. (bv, krukas - achterwiel)</t>
  </si>
  <si>
    <t>Wielomtrek</t>
  </si>
  <si>
    <t>Schakelmoment</t>
  </si>
  <si>
    <t>Primaire overbrenging</t>
  </si>
  <si>
    <t>(krukas naar versnellingsbak)</t>
  </si>
  <si>
    <t>1e versnelling</t>
  </si>
  <si>
    <t>2e versnelling</t>
  </si>
  <si>
    <t>3e versnelling</t>
  </si>
  <si>
    <t>4e versnelling</t>
  </si>
  <si>
    <t>5e versnelling</t>
  </si>
  <si>
    <t>6e versnelling</t>
  </si>
  <si>
    <t>Tandwiel voor</t>
  </si>
  <si>
    <t>Tandwiel achter</t>
  </si>
  <si>
    <t>Tpm op top</t>
  </si>
  <si>
    <t>tanden</t>
  </si>
  <si>
    <t>ratio</t>
  </si>
  <si>
    <t>Topsnelheid</t>
  </si>
  <si>
    <t>Tpm</t>
  </si>
  <si>
    <t>Km/u</t>
  </si>
  <si>
    <t>M/sec</t>
  </si>
  <si>
    <t>1 naar 2</t>
  </si>
  <si>
    <t>2 naar 3</t>
  </si>
  <si>
    <t>3 naar 4</t>
  </si>
  <si>
    <t>4 naar 5</t>
  </si>
  <si>
    <t>5 naar 6</t>
  </si>
  <si>
    <t>Ratio twv</t>
  </si>
  <si>
    <t>Primair+Twv</t>
  </si>
  <si>
    <t>Wielomtrek berekenen dia</t>
  </si>
  <si>
    <t>Wielomtrek berekenen radius</t>
  </si>
  <si>
    <t>omtrek</t>
  </si>
  <si>
    <t>radius</t>
  </si>
  <si>
    <t>diameter</t>
  </si>
  <si>
    <t>Compressie</t>
  </si>
  <si>
    <t>Een sheet om je compressie te berekenen.</t>
  </si>
  <si>
    <t>Een sheet om je poortdurations te berekenen.</t>
  </si>
  <si>
    <t>Bereken hier je cilinderinhoud</t>
  </si>
  <si>
    <t>Hier kun je echte poortbreedte berekenen</t>
  </si>
  <si>
    <t>Bereken hier hoever je reedstops open moeten staan</t>
  </si>
  <si>
    <t>Afstand uitlaatpoort - top cilinder</t>
  </si>
  <si>
    <t>Deck Height</t>
  </si>
  <si>
    <t>Hoogte Bolling zuiger (H)</t>
  </si>
  <si>
    <t>Boring (B)</t>
  </si>
  <si>
    <t>Totaal volume cilinderkop</t>
  </si>
  <si>
    <t>Ongecorrigeerde compressie UCR</t>
  </si>
  <si>
    <t>Gecorrigeerde compressie CCR</t>
  </si>
  <si>
    <t>bar</t>
  </si>
  <si>
    <t>Volume bovenkant zuiger</t>
  </si>
  <si>
    <t>Volume verbrandingsruimte</t>
  </si>
  <si>
    <t>Oppervlakte kop zuiger</t>
  </si>
  <si>
    <t>cm2</t>
  </si>
  <si>
    <t>cm3</t>
  </si>
  <si>
    <t>Onnodig</t>
  </si>
  <si>
    <t>Time Area's</t>
  </si>
  <si>
    <t>Cilinderinhoud</t>
  </si>
  <si>
    <t>Poorttiming</t>
  </si>
  <si>
    <t>Toerental</t>
  </si>
  <si>
    <t>Uitlaatoppervlakte</t>
  </si>
  <si>
    <t>mm3</t>
  </si>
  <si>
    <t>Openingsduur</t>
  </si>
  <si>
    <t>sec</t>
  </si>
  <si>
    <t>sec-cm^2/cm^3</t>
  </si>
  <si>
    <t>Time Area</t>
  </si>
  <si>
    <t>of</t>
  </si>
  <si>
    <t>Angle Area's</t>
  </si>
  <si>
    <t>Een sheet om je angle area's te kunnen controleren</t>
  </si>
  <si>
    <t>s-sq mm/cc x10^-3</t>
  </si>
  <si>
    <t>Terugrekenen:</t>
  </si>
  <si>
    <t>Benodigde Time Area</t>
  </si>
  <si>
    <t>Uitlaatpoortoppervlakte</t>
  </si>
  <si>
    <t>Een sheet om je time area's te berekenen (werkt icm bimotion beter met grotere inhouden)</t>
  </si>
  <si>
    <t>Angle Area</t>
  </si>
  <si>
    <t>deg-cm^2/cm^3</t>
  </si>
  <si>
    <t>2 Stroke Tuning v1.3</t>
  </si>
  <si>
    <t>Door John Huijben</t>
  </si>
  <si>
    <t>Poortbreedtes</t>
  </si>
  <si>
    <t>Poorttimingen</t>
  </si>
  <si>
    <t>Membraanstop</t>
  </si>
  <si>
    <t>Uitlaat (frits overmars formules)</t>
  </si>
  <si>
    <t>Bevat:</t>
  </si>
  <si>
    <t>Ophogen</t>
  </si>
</sst>
</file>

<file path=xl/styles.xml><?xml version="1.0" encoding="utf-8"?>
<styleSheet xmlns="http://schemas.openxmlformats.org/spreadsheetml/2006/main">
  <numFmts count="2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Ja&quot;;&quot;Ja&quot;;&quot;Nee&quot;"/>
    <numFmt numFmtId="171" formatCode="&quot;Waar&quot;;&quot;Waar&quot;;&quot;Niet waar&quot;"/>
    <numFmt numFmtId="172" formatCode="&quot;Aan&quot;;&quot;Aan&quot;;&quot;Uit&quot;"/>
    <numFmt numFmtId="173" formatCode="0.0"/>
    <numFmt numFmtId="174" formatCode="0.00000"/>
    <numFmt numFmtId="175" formatCode="0.000000"/>
    <numFmt numFmtId="176" formatCode="0.000"/>
  </numFmts>
  <fonts count="11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1" fillId="2" borderId="2" xfId="0" applyFont="1" applyFill="1" applyBorder="1" applyAlignment="1">
      <alignment horizontal="right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2" borderId="4" xfId="0" applyFont="1" applyFill="1" applyBorder="1" applyAlignment="1">
      <alignment horizontal="right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1" fillId="2" borderId="6" xfId="0" applyFont="1" applyFill="1" applyBorder="1" applyAlignment="1">
      <alignment horizontal="right"/>
    </xf>
    <xf numFmtId="0" fontId="0" fillId="3" borderId="7" xfId="0" applyFill="1" applyBorder="1" applyAlignment="1">
      <alignment/>
    </xf>
    <xf numFmtId="0" fontId="1" fillId="2" borderId="7" xfId="0" applyFont="1" applyFill="1" applyBorder="1" applyAlignment="1">
      <alignment horizontal="right"/>
    </xf>
    <xf numFmtId="0" fontId="0" fillId="4" borderId="7" xfId="0" applyFill="1" applyBorder="1" applyAlignment="1">
      <alignment/>
    </xf>
    <xf numFmtId="0" fontId="2" fillId="3" borderId="7" xfId="0" applyFont="1" applyFill="1" applyBorder="1" applyAlignment="1">
      <alignment horizontal="center"/>
    </xf>
    <xf numFmtId="0" fontId="0" fillId="5" borderId="7" xfId="0" applyFill="1" applyBorder="1" applyAlignment="1">
      <alignment/>
    </xf>
    <xf numFmtId="0" fontId="0" fillId="6" borderId="7" xfId="0" applyFill="1" applyBorder="1" applyAlignment="1">
      <alignment/>
    </xf>
    <xf numFmtId="2" fontId="2" fillId="5" borderId="7" xfId="0" applyNumberFormat="1" applyFont="1" applyFill="1" applyBorder="1" applyAlignment="1">
      <alignment horizontal="right"/>
    </xf>
    <xf numFmtId="2" fontId="2" fillId="5" borderId="7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2" borderId="8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0" fillId="0" borderId="6" xfId="0" applyBorder="1" applyAlignment="1">
      <alignment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1" fillId="4" borderId="9" xfId="0" applyFont="1" applyFill="1" applyBorder="1" applyAlignment="1">
      <alignment horizontal="right"/>
    </xf>
    <xf numFmtId="0" fontId="1" fillId="4" borderId="8" xfId="0" applyFont="1" applyFill="1" applyBorder="1" applyAlignment="1">
      <alignment horizontal="right"/>
    </xf>
    <xf numFmtId="0" fontId="1" fillId="4" borderId="1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5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2" fontId="2" fillId="2" borderId="3" xfId="0" applyNumberFormat="1" applyFont="1" applyFill="1" applyBorder="1" applyAlignment="1">
      <alignment/>
    </xf>
    <xf numFmtId="0" fontId="0" fillId="3" borderId="4" xfId="0" applyFill="1" applyBorder="1" applyAlignment="1">
      <alignment/>
    </xf>
    <xf numFmtId="0" fontId="0" fillId="3" borderId="9" xfId="0" applyFill="1" applyBorder="1" applyAlignment="1">
      <alignment/>
    </xf>
    <xf numFmtId="2" fontId="2" fillId="2" borderId="6" xfId="0" applyNumberFormat="1" applyFont="1" applyFill="1" applyBorder="1" applyAlignment="1">
      <alignment/>
    </xf>
    <xf numFmtId="2" fontId="2" fillId="2" borderId="4" xfId="0" applyNumberFormat="1" applyFont="1" applyFill="1" applyBorder="1" applyAlignment="1">
      <alignment/>
    </xf>
    <xf numFmtId="2" fontId="2" fillId="2" borderId="1" xfId="0" applyNumberFormat="1" applyFont="1" applyFill="1" applyBorder="1" applyAlignment="1">
      <alignment/>
    </xf>
    <xf numFmtId="2" fontId="2" fillId="2" borderId="3" xfId="0" applyNumberFormat="1" applyFont="1" applyFill="1" applyBorder="1" applyAlignment="1">
      <alignment/>
    </xf>
    <xf numFmtId="2" fontId="2" fillId="2" borderId="5" xfId="0" applyNumberFormat="1" applyFont="1" applyFill="1" applyBorder="1" applyAlignment="1">
      <alignment/>
    </xf>
    <xf numFmtId="0" fontId="0" fillId="2" borderId="11" xfId="0" applyFill="1" applyBorder="1" applyAlignment="1">
      <alignment/>
    </xf>
    <xf numFmtId="0" fontId="1" fillId="2" borderId="12" xfId="0" applyFont="1" applyFill="1" applyBorder="1" applyAlignment="1">
      <alignment horizontal="right"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 horizontal="right"/>
    </xf>
    <xf numFmtId="0" fontId="1" fillId="5" borderId="9" xfId="0" applyFont="1" applyFill="1" applyBorder="1" applyAlignment="1">
      <alignment horizontal="right"/>
    </xf>
    <xf numFmtId="0" fontId="0" fillId="5" borderId="1" xfId="0" applyFill="1" applyBorder="1" applyAlignment="1">
      <alignment/>
    </xf>
    <xf numFmtId="0" fontId="1" fillId="5" borderId="8" xfId="0" applyFont="1" applyFill="1" applyBorder="1" applyAlignment="1">
      <alignment horizontal="right"/>
    </xf>
    <xf numFmtId="0" fontId="0" fillId="5" borderId="5" xfId="0" applyFill="1" applyBorder="1" applyAlignment="1">
      <alignment/>
    </xf>
    <xf numFmtId="0" fontId="1" fillId="5" borderId="10" xfId="0" applyFont="1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9" xfId="0" applyFill="1" applyBorder="1" applyAlignment="1">
      <alignment horizontal="right"/>
    </xf>
    <xf numFmtId="0" fontId="0" fillId="5" borderId="10" xfId="0" applyFill="1" applyBorder="1" applyAlignment="1">
      <alignment horizontal="right"/>
    </xf>
    <xf numFmtId="0" fontId="0" fillId="3" borderId="0" xfId="0" applyFill="1" applyBorder="1" applyAlignment="1">
      <alignment/>
    </xf>
    <xf numFmtId="0" fontId="6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10" xfId="0" applyFont="1" applyFill="1" applyBorder="1" applyAlignment="1">
      <alignment horizontal="right"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6" borderId="9" xfId="0" applyFill="1" applyBorder="1" applyAlignment="1">
      <alignment/>
    </xf>
    <xf numFmtId="0" fontId="0" fillId="2" borderId="7" xfId="0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3" borderId="11" xfId="0" applyFont="1" applyFill="1" applyBorder="1" applyAlignment="1">
      <alignment horizontal="left"/>
    </xf>
    <xf numFmtId="0" fontId="0" fillId="3" borderId="12" xfId="0" applyFill="1" applyBorder="1" applyAlignment="1">
      <alignment/>
    </xf>
    <xf numFmtId="0" fontId="5" fillId="3" borderId="11" xfId="0" applyFont="1" applyFill="1" applyBorder="1" applyAlignment="1">
      <alignment/>
    </xf>
    <xf numFmtId="0" fontId="0" fillId="0" borderId="4" xfId="0" applyBorder="1" applyAlignment="1">
      <alignment/>
    </xf>
    <xf numFmtId="0" fontId="0" fillId="2" borderId="7" xfId="0" applyFill="1" applyBorder="1" applyAlignment="1">
      <alignment horizontal="right"/>
    </xf>
    <xf numFmtId="0" fontId="2" fillId="3" borderId="7" xfId="0" applyFont="1" applyFill="1" applyBorder="1" applyAlignment="1">
      <alignment/>
    </xf>
    <xf numFmtId="0" fontId="2" fillId="5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2" borderId="7" xfId="0" applyFont="1" applyFill="1" applyBorder="1" applyAlignment="1">
      <alignment/>
    </xf>
    <xf numFmtId="16" fontId="1" fillId="2" borderId="8" xfId="0" applyNumberFormat="1" applyFont="1" applyFill="1" applyBorder="1" applyAlignment="1">
      <alignment horizontal="right"/>
    </xf>
    <xf numFmtId="0" fontId="0" fillId="6" borderId="7" xfId="0" applyFill="1" applyBorder="1" applyAlignment="1">
      <alignment horizontal="center"/>
    </xf>
    <xf numFmtId="1" fontId="2" fillId="5" borderId="7" xfId="0" applyNumberFormat="1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2" fillId="0" borderId="6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2" borderId="8" xfId="0" applyFont="1" applyFill="1" applyBorder="1" applyAlignment="1">
      <alignment horizontal="right"/>
    </xf>
    <xf numFmtId="0" fontId="0" fillId="2" borderId="10" xfId="0" applyFont="1" applyFill="1" applyBorder="1" applyAlignment="1">
      <alignment horizontal="right"/>
    </xf>
    <xf numFmtId="0" fontId="0" fillId="2" borderId="9" xfId="0" applyFont="1" applyFill="1" applyBorder="1" applyAlignment="1">
      <alignment horizontal="right"/>
    </xf>
    <xf numFmtId="0" fontId="0" fillId="7" borderId="7" xfId="0" applyFill="1" applyBorder="1" applyAlignment="1">
      <alignment/>
    </xf>
    <xf numFmtId="0" fontId="0" fillId="0" borderId="0" xfId="0" applyAlignment="1">
      <alignment horizontal="center"/>
    </xf>
    <xf numFmtId="0" fontId="0" fillId="7" borderId="9" xfId="0" applyFill="1" applyBorder="1" applyAlignment="1">
      <alignment/>
    </xf>
    <xf numFmtId="0" fontId="0" fillId="2" borderId="9" xfId="0" applyFill="1" applyBorder="1" applyAlignment="1">
      <alignment horizontal="right"/>
    </xf>
    <xf numFmtId="0" fontId="4" fillId="0" borderId="0" xfId="0" applyFont="1" applyFill="1" applyBorder="1" applyAlignment="1">
      <alignment/>
    </xf>
    <xf numFmtId="2" fontId="2" fillId="2" borderId="3" xfId="0" applyNumberFormat="1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10" xfId="0" applyFill="1" applyBorder="1" applyAlignment="1">
      <alignment horizontal="right"/>
    </xf>
    <xf numFmtId="2" fontId="0" fillId="2" borderId="8" xfId="0" applyNumberFormat="1" applyFont="1" applyFill="1" applyBorder="1" applyAlignment="1">
      <alignment horizontal="right"/>
    </xf>
    <xf numFmtId="0" fontId="0" fillId="2" borderId="9" xfId="0" applyFont="1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2" fontId="2" fillId="5" borderId="9" xfId="0" applyNumberFormat="1" applyFont="1" applyFill="1" applyBorder="1" applyAlignment="1">
      <alignment horizontal="right"/>
    </xf>
    <xf numFmtId="0" fontId="0" fillId="2" borderId="7" xfId="0" applyFill="1" applyBorder="1" applyAlignment="1">
      <alignment/>
    </xf>
    <xf numFmtId="0" fontId="0" fillId="7" borderId="13" xfId="0" applyFill="1" applyBorder="1" applyAlignment="1">
      <alignment/>
    </xf>
    <xf numFmtId="0" fontId="0" fillId="7" borderId="3" xfId="0" applyFill="1" applyBorder="1" applyAlignment="1">
      <alignment/>
    </xf>
    <xf numFmtId="174" fontId="1" fillId="5" borderId="7" xfId="0" applyNumberFormat="1" applyFont="1" applyFill="1" applyBorder="1" applyAlignment="1">
      <alignment/>
    </xf>
    <xf numFmtId="175" fontId="1" fillId="5" borderId="7" xfId="0" applyNumberFormat="1" applyFont="1" applyFill="1" applyBorder="1" applyAlignment="1">
      <alignment/>
    </xf>
    <xf numFmtId="173" fontId="1" fillId="5" borderId="7" xfId="0" applyNumberFormat="1" applyFont="1" applyFill="1" applyBorder="1" applyAlignment="1">
      <alignment/>
    </xf>
    <xf numFmtId="173" fontId="1" fillId="0" borderId="0" xfId="0" applyNumberFormat="1" applyFont="1" applyFill="1" applyBorder="1" applyAlignment="1">
      <alignment/>
    </xf>
    <xf numFmtId="176" fontId="1" fillId="5" borderId="7" xfId="0" applyNumberFormat="1" applyFont="1" applyFill="1" applyBorder="1" applyAlignment="1">
      <alignment/>
    </xf>
    <xf numFmtId="0" fontId="0" fillId="3" borderId="14" xfId="0" applyFill="1" applyBorder="1" applyAlignment="1">
      <alignment/>
    </xf>
    <xf numFmtId="0" fontId="0" fillId="7" borderId="14" xfId="0" applyFill="1" applyBorder="1" applyAlignment="1">
      <alignment/>
    </xf>
    <xf numFmtId="0" fontId="10" fillId="0" borderId="6" xfId="0" applyFont="1" applyBorder="1" applyAlignment="1">
      <alignment/>
    </xf>
    <xf numFmtId="0" fontId="0" fillId="0" borderId="0" xfId="0" applyAlignment="1">
      <alignment/>
    </xf>
    <xf numFmtId="0" fontId="0" fillId="6" borderId="7" xfId="0" applyFont="1" applyFill="1" applyBorder="1" applyAlignment="1">
      <alignment/>
    </xf>
    <xf numFmtId="2" fontId="0" fillId="5" borderId="7" xfId="0" applyNumberForma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4</xdr:row>
      <xdr:rowOff>9525</xdr:rowOff>
    </xdr:from>
    <xdr:to>
      <xdr:col>13</xdr:col>
      <xdr:colOff>0</xdr:colOff>
      <xdr:row>36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-260" b="-1116"/>
        <a:stretch>
          <a:fillRect/>
        </a:stretch>
      </xdr:blipFill>
      <xdr:spPr>
        <a:xfrm>
          <a:off x="4352925" y="657225"/>
          <a:ext cx="3648075" cy="517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25</xdr:row>
      <xdr:rowOff>28575</xdr:rowOff>
    </xdr:from>
    <xdr:to>
      <xdr:col>13</xdr:col>
      <xdr:colOff>228600</xdr:colOff>
      <xdr:row>36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076700"/>
          <a:ext cx="7620000" cy="1905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2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5"/>
  <sheetViews>
    <sheetView workbookViewId="0" topLeftCell="A1">
      <selection activeCell="B2" sqref="B2"/>
    </sheetView>
  </sheetViews>
  <sheetFormatPr defaultColWidth="9.140625" defaultRowHeight="12.75"/>
  <sheetData>
    <row r="2" spans="2:11" ht="18">
      <c r="B2" s="122" t="s">
        <v>161</v>
      </c>
      <c r="C2" s="26"/>
      <c r="D2" s="26"/>
      <c r="E2" s="26"/>
      <c r="F2" s="26"/>
      <c r="G2" s="26"/>
      <c r="H2" s="26"/>
      <c r="I2" s="26"/>
      <c r="J2" s="26"/>
      <c r="K2" s="26"/>
    </row>
    <row r="3" ht="12.75">
      <c r="B3" s="1" t="s">
        <v>162</v>
      </c>
    </row>
    <row r="6" ht="12.75">
      <c r="B6" s="1" t="s">
        <v>167</v>
      </c>
    </row>
    <row r="7" ht="12.75">
      <c r="B7" s="77" t="s">
        <v>142</v>
      </c>
    </row>
    <row r="8" ht="12.75">
      <c r="B8" s="77" t="s">
        <v>163</v>
      </c>
    </row>
    <row r="9" ht="12.75">
      <c r="B9" s="77" t="s">
        <v>164</v>
      </c>
    </row>
    <row r="10" ht="12.75">
      <c r="B10" s="77" t="s">
        <v>121</v>
      </c>
    </row>
    <row r="11" ht="12.75">
      <c r="B11" s="77" t="s">
        <v>141</v>
      </c>
    </row>
    <row r="12" ht="12.75">
      <c r="B12" s="77" t="s">
        <v>152</v>
      </c>
    </row>
    <row r="13" ht="12.75">
      <c r="B13" s="77" t="s">
        <v>165</v>
      </c>
    </row>
    <row r="14" ht="12.75">
      <c r="B14" s="77" t="s">
        <v>81</v>
      </c>
    </row>
    <row r="15" ht="12.75">
      <c r="B15" s="77" t="s">
        <v>166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K17"/>
  <sheetViews>
    <sheetView workbookViewId="0" topLeftCell="A1">
      <selection activeCell="B2" sqref="B2"/>
    </sheetView>
  </sheetViews>
  <sheetFormatPr defaultColWidth="9.140625" defaultRowHeight="12.75"/>
  <cols>
    <col min="3" max="3" width="9.57421875" style="0" bestFit="1" customWidth="1"/>
  </cols>
  <sheetData>
    <row r="2" spans="2:11" ht="12.75">
      <c r="B2" s="93" t="s">
        <v>71</v>
      </c>
      <c r="C2" s="26"/>
      <c r="D2" s="26"/>
      <c r="E2" s="26"/>
      <c r="F2" s="26"/>
      <c r="G2" s="26"/>
      <c r="H2" s="26"/>
      <c r="I2" s="26"/>
      <c r="J2" s="26"/>
      <c r="K2" s="26"/>
    </row>
    <row r="3" ht="12.75">
      <c r="B3" s="1" t="s">
        <v>124</v>
      </c>
    </row>
    <row r="5" spans="2:4" ht="12.75">
      <c r="B5" s="13" t="s">
        <v>33</v>
      </c>
      <c r="C5" s="12">
        <v>39</v>
      </c>
      <c r="D5" s="17" t="s">
        <v>8</v>
      </c>
    </row>
    <row r="6" spans="2:4" ht="12.75">
      <c r="B6" s="13" t="s">
        <v>1</v>
      </c>
      <c r="C6" s="12">
        <v>41.4</v>
      </c>
      <c r="D6" s="17" t="s">
        <v>8</v>
      </c>
    </row>
    <row r="7" spans="2:4" ht="12.75">
      <c r="B7" s="13" t="s">
        <v>72</v>
      </c>
      <c r="C7" s="19">
        <f>((((C5/2)*(C5/2))*3.1416)*C6)/1000</f>
        <v>49.45616676</v>
      </c>
      <c r="D7" s="17" t="s">
        <v>50</v>
      </c>
    </row>
    <row r="10" spans="2:11" ht="12.75">
      <c r="B10" s="93" t="s">
        <v>79</v>
      </c>
      <c r="C10" s="26"/>
      <c r="D10" s="26"/>
      <c r="E10" s="26"/>
      <c r="F10" s="26"/>
      <c r="G10" s="26"/>
      <c r="H10" s="26"/>
      <c r="I10" s="26"/>
      <c r="J10" s="26"/>
      <c r="K10" s="26"/>
    </row>
    <row r="11" ht="12.75">
      <c r="B11" s="1" t="s">
        <v>125</v>
      </c>
    </row>
    <row r="13" ht="12.75">
      <c r="E13" s="15" t="s">
        <v>37</v>
      </c>
    </row>
    <row r="14" spans="3:8" ht="12.75">
      <c r="C14" s="3"/>
      <c r="D14" s="24" t="s">
        <v>33</v>
      </c>
      <c r="E14" s="14">
        <v>39</v>
      </c>
      <c r="F14" s="17" t="s">
        <v>8</v>
      </c>
      <c r="H14" s="1" t="s">
        <v>36</v>
      </c>
    </row>
    <row r="15" spans="3:9" ht="12.75">
      <c r="C15" s="6"/>
      <c r="D15" s="25" t="s">
        <v>35</v>
      </c>
      <c r="E15" s="14">
        <v>28</v>
      </c>
      <c r="F15" s="17" t="s">
        <v>8</v>
      </c>
      <c r="H15" s="16">
        <f>((E15*180)/(3.14159*E14))</f>
        <v>41.13546619093174</v>
      </c>
      <c r="I15" s="16">
        <f>H16/180</f>
        <v>0.7189336838336231</v>
      </c>
    </row>
    <row r="16" spans="3:9" ht="12.75">
      <c r="C16" s="54"/>
      <c r="D16" s="55" t="s">
        <v>34</v>
      </c>
      <c r="E16" s="19">
        <f>I16*E14</f>
        <v>25.684722751363193</v>
      </c>
      <c r="F16" s="17" t="s">
        <v>8</v>
      </c>
      <c r="H16" s="16">
        <f>H15*3.1459</f>
        <v>129.40806309005217</v>
      </c>
      <c r="I16" s="16">
        <f>SIN(I15)</f>
        <v>0.6585826346503383</v>
      </c>
    </row>
    <row r="17" spans="2:6" ht="12.75">
      <c r="B17" s="6"/>
      <c r="C17" s="7"/>
      <c r="D17" s="25" t="s">
        <v>69</v>
      </c>
      <c r="E17" s="19">
        <f>(E16/E14)*100</f>
        <v>65.85826346503383</v>
      </c>
      <c r="F17" s="17" t="s">
        <v>70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7"/>
  <sheetViews>
    <sheetView tabSelected="1" workbookViewId="0" topLeftCell="A1">
      <selection activeCell="E15" sqref="E15"/>
    </sheetView>
  </sheetViews>
  <sheetFormatPr defaultColWidth="9.140625" defaultRowHeight="12.75"/>
  <cols>
    <col min="5" max="7" width="13.7109375" style="0" customWidth="1"/>
    <col min="10" max="12" width="8.7109375" style="0" customWidth="1"/>
  </cols>
  <sheetData>
    <row r="2" spans="2:10" ht="12.75">
      <c r="B2" s="93" t="s">
        <v>0</v>
      </c>
      <c r="C2" s="26"/>
      <c r="D2" s="26"/>
      <c r="E2" s="26"/>
      <c r="F2" s="26"/>
      <c r="G2" s="26"/>
      <c r="H2" s="26"/>
      <c r="I2" s="26"/>
      <c r="J2" s="26"/>
    </row>
    <row r="3" ht="12.75">
      <c r="B3" s="1" t="s">
        <v>123</v>
      </c>
    </row>
    <row r="5" spans="5:10" ht="12.75">
      <c r="E5" s="15" t="s">
        <v>5</v>
      </c>
      <c r="F5" s="15" t="s">
        <v>6</v>
      </c>
      <c r="G5" s="15" t="s">
        <v>7</v>
      </c>
      <c r="J5" s="1" t="s">
        <v>36</v>
      </c>
    </row>
    <row r="6" spans="2:12" ht="12.75">
      <c r="B6" s="3"/>
      <c r="C6" s="4"/>
      <c r="D6" s="5" t="s">
        <v>1</v>
      </c>
      <c r="E6" s="14">
        <v>54</v>
      </c>
      <c r="F6" s="16">
        <f>E6</f>
        <v>54</v>
      </c>
      <c r="G6" s="16">
        <f>F6</f>
        <v>54</v>
      </c>
      <c r="H6" s="17" t="s">
        <v>8</v>
      </c>
      <c r="J6" s="12" t="s">
        <v>10</v>
      </c>
      <c r="K6" s="12" t="s">
        <v>11</v>
      </c>
      <c r="L6" s="12" t="s">
        <v>12</v>
      </c>
    </row>
    <row r="7" spans="2:12" ht="12.75">
      <c r="B7" s="3"/>
      <c r="C7" s="4"/>
      <c r="D7" s="5" t="s">
        <v>2</v>
      </c>
      <c r="E7" s="14">
        <v>110</v>
      </c>
      <c r="F7" s="16">
        <f>E7</f>
        <v>110</v>
      </c>
      <c r="G7" s="16">
        <f>E7</f>
        <v>110</v>
      </c>
      <c r="H7" s="17" t="s">
        <v>8</v>
      </c>
      <c r="J7" s="16">
        <f>(E6/2)+E7+E8-J12</f>
        <v>111.9</v>
      </c>
      <c r="K7" s="16">
        <f>(F6/2)+F7+F8-K12</f>
        <v>94.8</v>
      </c>
      <c r="L7" s="16">
        <f>(G6/2)+G7+G8-L12</f>
        <v>94.8</v>
      </c>
    </row>
    <row r="8" spans="2:12" ht="12.75">
      <c r="B8" s="6"/>
      <c r="C8" s="7"/>
      <c r="D8" s="8" t="s">
        <v>3</v>
      </c>
      <c r="E8" s="14">
        <v>0.5</v>
      </c>
      <c r="F8" s="16">
        <f>E8</f>
        <v>0.5</v>
      </c>
      <c r="G8" s="16">
        <f>E8</f>
        <v>0.5</v>
      </c>
      <c r="H8" s="17" t="s">
        <v>8</v>
      </c>
      <c r="J8" s="16">
        <f>(J7^2)+((E6/2)^2)-(E7^2)</f>
        <v>1150.6100000000006</v>
      </c>
      <c r="K8" s="16">
        <f>(K7^2)+((F6/2)^2)-(F7^2)</f>
        <v>-2383.960000000001</v>
      </c>
      <c r="L8" s="16">
        <f>(L7^2)+((G6/2)^2)-(G7^2)</f>
        <v>-2383.960000000001</v>
      </c>
    </row>
    <row r="9" spans="2:12" ht="12.75">
      <c r="B9" s="9"/>
      <c r="C9" s="10"/>
      <c r="D9" s="11" t="s">
        <v>4</v>
      </c>
      <c r="E9" s="14">
        <v>27.1</v>
      </c>
      <c r="F9" s="14">
        <v>44.2</v>
      </c>
      <c r="G9" s="14">
        <v>44.2</v>
      </c>
      <c r="H9" s="17" t="s">
        <v>8</v>
      </c>
      <c r="J9" s="16">
        <f>(2*(E6/2)*J7)</f>
        <v>6042.6</v>
      </c>
      <c r="K9" s="16">
        <f>(2*(F6/2)*K7)</f>
        <v>5119.2</v>
      </c>
      <c r="L9" s="16">
        <f>(2*(G6/2)*L7)</f>
        <v>5119.2</v>
      </c>
    </row>
    <row r="10" spans="10:12" ht="12.75">
      <c r="J10" s="16">
        <f>ACOS(J8/J9)</f>
        <v>1.3792100603771904</v>
      </c>
      <c r="K10" s="16">
        <f>ACOS(K8/K9)</f>
        <v>2.0552104303533074</v>
      </c>
      <c r="L10" s="16">
        <f>ACOS(L8/L9)</f>
        <v>2.0552104303533074</v>
      </c>
    </row>
    <row r="11" spans="4:12" ht="12.75">
      <c r="D11" s="13" t="s">
        <v>0</v>
      </c>
      <c r="E11" s="18">
        <f>(180-J11)*2</f>
        <v>201.95416895680708</v>
      </c>
      <c r="F11" s="18">
        <f>(180-K11)*2</f>
        <v>124.49023265897972</v>
      </c>
      <c r="G11" s="18">
        <f>(180-L11)*2</f>
        <v>124.49023265897972</v>
      </c>
      <c r="H11" s="17" t="s">
        <v>9</v>
      </c>
      <c r="J11" s="16">
        <f>DEGREES(J10)</f>
        <v>79.02291552159646</v>
      </c>
      <c r="K11" s="16">
        <f>DEGREES(K10)</f>
        <v>117.75488367051014</v>
      </c>
      <c r="L11" s="16">
        <f>DEGREES(L10)</f>
        <v>117.75488367051014</v>
      </c>
    </row>
    <row r="12" spans="4:12" ht="12.75">
      <c r="D12" s="13" t="s">
        <v>13</v>
      </c>
      <c r="E12" s="19">
        <f>(E11/2)-(F11/2)</f>
        <v>38.73196814891368</v>
      </c>
      <c r="J12" s="125">
        <f>E9-E14</f>
        <v>25.6</v>
      </c>
      <c r="K12" s="125">
        <f>F9-E14</f>
        <v>42.7</v>
      </c>
      <c r="L12" s="125">
        <f>G9-E14</f>
        <v>42.7</v>
      </c>
    </row>
    <row r="14" spans="4:6" ht="12.75">
      <c r="D14" s="13" t="s">
        <v>168</v>
      </c>
      <c r="E14" s="19">
        <v>1.5</v>
      </c>
      <c r="F14" s="124" t="s">
        <v>8</v>
      </c>
    </row>
    <row r="18" spans="2:6" ht="12.75">
      <c r="B18" s="2" t="s">
        <v>14</v>
      </c>
      <c r="F18" s="2" t="s">
        <v>24</v>
      </c>
    </row>
    <row r="19" spans="2:7" ht="12.75">
      <c r="B19" s="1" t="s">
        <v>16</v>
      </c>
      <c r="D19" s="22">
        <v>41.4</v>
      </c>
      <c r="F19" s="1" t="s">
        <v>25</v>
      </c>
      <c r="G19" s="22" t="s">
        <v>26</v>
      </c>
    </row>
    <row r="20" spans="2:7" ht="12.75">
      <c r="B20" s="1" t="s">
        <v>15</v>
      </c>
      <c r="D20" s="22">
        <v>41.4</v>
      </c>
      <c r="F20" s="1" t="s">
        <v>28</v>
      </c>
      <c r="G20" s="23">
        <v>90</v>
      </c>
    </row>
    <row r="21" spans="2:7" ht="12.75">
      <c r="B21" s="1" t="s">
        <v>18</v>
      </c>
      <c r="D21" s="22">
        <v>41.4</v>
      </c>
      <c r="F21" s="1" t="s">
        <v>27</v>
      </c>
      <c r="G21" s="23">
        <v>91</v>
      </c>
    </row>
    <row r="22" spans="2:7" ht="12.75">
      <c r="B22" s="1" t="s">
        <v>17</v>
      </c>
      <c r="D22" s="22">
        <v>50.8</v>
      </c>
      <c r="F22" s="1" t="s">
        <v>29</v>
      </c>
      <c r="G22" s="23">
        <v>84</v>
      </c>
    </row>
    <row r="23" spans="2:7" ht="12.75">
      <c r="B23" s="20" t="s">
        <v>20</v>
      </c>
      <c r="D23" s="22">
        <v>41.8</v>
      </c>
      <c r="F23" s="1" t="s">
        <v>30</v>
      </c>
      <c r="G23" s="23">
        <v>84</v>
      </c>
    </row>
    <row r="24" spans="2:7" ht="12.75">
      <c r="B24" s="1" t="s">
        <v>19</v>
      </c>
      <c r="D24" s="23">
        <v>43</v>
      </c>
      <c r="F24" s="1" t="s">
        <v>31</v>
      </c>
      <c r="G24" s="23">
        <v>90</v>
      </c>
    </row>
    <row r="25" spans="2:7" ht="12.75">
      <c r="B25" s="1" t="s">
        <v>21</v>
      </c>
      <c r="D25" s="22">
        <v>39.7</v>
      </c>
      <c r="F25" s="1" t="s">
        <v>22</v>
      </c>
      <c r="G25" s="23">
        <v>85</v>
      </c>
    </row>
    <row r="26" spans="2:7" ht="12.75">
      <c r="B26" s="1" t="s">
        <v>22</v>
      </c>
      <c r="D26" s="22">
        <v>41.6</v>
      </c>
      <c r="F26" s="1" t="s">
        <v>23</v>
      </c>
      <c r="G26" s="23">
        <v>81.5</v>
      </c>
    </row>
    <row r="27" spans="2:6" ht="12.75">
      <c r="B27" s="1" t="s">
        <v>23</v>
      </c>
      <c r="D27" s="23">
        <v>37.8</v>
      </c>
      <c r="F27" s="21" t="s">
        <v>32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6"/>
  <sheetViews>
    <sheetView workbookViewId="0" topLeftCell="A1">
      <selection activeCell="B2" sqref="B2"/>
    </sheetView>
  </sheetViews>
  <sheetFormatPr defaultColWidth="9.140625" defaultRowHeight="12.75"/>
  <cols>
    <col min="2" max="2" width="10.7109375" style="0" customWidth="1"/>
  </cols>
  <sheetData>
    <row r="2" spans="2:11" ht="12.75">
      <c r="B2" s="93" t="s">
        <v>121</v>
      </c>
      <c r="C2" s="26"/>
      <c r="D2" s="26"/>
      <c r="E2" s="26"/>
      <c r="F2" s="26"/>
      <c r="G2" s="26"/>
      <c r="H2" s="26"/>
      <c r="I2" s="26"/>
      <c r="J2" s="26"/>
      <c r="K2" s="26"/>
    </row>
    <row r="3" ht="12.75">
      <c r="B3" s="1" t="s">
        <v>122</v>
      </c>
    </row>
    <row r="6" spans="2:8" ht="12.75">
      <c r="B6" s="3"/>
      <c r="C6" s="4"/>
      <c r="D6" s="97" t="s">
        <v>1</v>
      </c>
      <c r="E6" s="12">
        <v>41.4</v>
      </c>
      <c r="F6" s="100" t="s">
        <v>8</v>
      </c>
      <c r="H6" s="95"/>
    </row>
    <row r="7" spans="2:6" ht="12.75">
      <c r="B7" s="3"/>
      <c r="C7" s="4"/>
      <c r="D7" s="97" t="s">
        <v>2</v>
      </c>
      <c r="E7" s="12">
        <v>91</v>
      </c>
      <c r="F7" s="100" t="s">
        <v>8</v>
      </c>
    </row>
    <row r="8" spans="2:6" ht="12.75">
      <c r="B8" s="6"/>
      <c r="C8" s="7"/>
      <c r="D8" s="99" t="s">
        <v>128</v>
      </c>
      <c r="E8" s="12">
        <v>1.5</v>
      </c>
      <c r="F8" s="100" t="s">
        <v>8</v>
      </c>
    </row>
    <row r="9" spans="2:7" ht="12.75">
      <c r="B9" s="9"/>
      <c r="C9" s="10"/>
      <c r="D9" s="98" t="s">
        <v>127</v>
      </c>
      <c r="E9" s="12">
        <v>24.5</v>
      </c>
      <c r="F9" s="100" t="s">
        <v>8</v>
      </c>
      <c r="G9" s="1"/>
    </row>
    <row r="10" spans="2:9" ht="12.75">
      <c r="B10" s="3"/>
      <c r="C10" s="4"/>
      <c r="D10" s="97" t="s">
        <v>130</v>
      </c>
      <c r="E10" s="12">
        <v>53</v>
      </c>
      <c r="F10" s="100" t="s">
        <v>8</v>
      </c>
      <c r="G10" s="94"/>
      <c r="I10" s="94"/>
    </row>
    <row r="11" spans="2:9" ht="12.75">
      <c r="B11" s="6"/>
      <c r="C11" s="7"/>
      <c r="D11" s="99" t="s">
        <v>129</v>
      </c>
      <c r="E11" s="12">
        <v>3.2</v>
      </c>
      <c r="F11" s="100" t="s">
        <v>8</v>
      </c>
      <c r="I11" s="94"/>
    </row>
    <row r="12" spans="2:9" ht="12.75">
      <c r="B12" s="6"/>
      <c r="C12" s="7"/>
      <c r="D12" s="99" t="s">
        <v>131</v>
      </c>
      <c r="E12" s="91">
        <v>10.5</v>
      </c>
      <c r="F12" s="100" t="s">
        <v>139</v>
      </c>
      <c r="H12" s="94"/>
      <c r="I12" s="94"/>
    </row>
    <row r="13" spans="3:9" ht="12.75">
      <c r="C13" s="94"/>
      <c r="D13" s="94"/>
      <c r="E13" s="94"/>
      <c r="H13" s="94"/>
      <c r="I13" s="94"/>
    </row>
    <row r="14" spans="3:9" ht="12.75">
      <c r="C14" s="94"/>
      <c r="D14" s="94"/>
      <c r="E14" s="94"/>
      <c r="H14" s="94"/>
      <c r="I14" s="94"/>
    </row>
    <row r="15" spans="2:9" ht="12.75">
      <c r="B15" s="3"/>
      <c r="C15" s="4"/>
      <c r="D15" s="108" t="s">
        <v>41</v>
      </c>
      <c r="E15" s="111">
        <f>(180-J26)*2</f>
        <v>180.47369813576702</v>
      </c>
      <c r="F15" s="102" t="s">
        <v>9</v>
      </c>
      <c r="H15" s="94"/>
      <c r="I15" s="94"/>
    </row>
    <row r="16" spans="1:6" ht="12.75">
      <c r="A16" s="104"/>
      <c r="B16" s="105"/>
      <c r="C16" s="106"/>
      <c r="D16" s="109" t="s">
        <v>132</v>
      </c>
      <c r="E16" s="19">
        <f>(3.1416/4*(E10*E10)*E6/1000+E19)/E19</f>
        <v>9.900235434810574</v>
      </c>
      <c r="F16" s="100" t="s">
        <v>134</v>
      </c>
    </row>
    <row r="17" spans="2:6" ht="12.75">
      <c r="B17" s="9"/>
      <c r="C17" s="10"/>
      <c r="D17" s="107" t="s">
        <v>133</v>
      </c>
      <c r="E17" s="19">
        <f>(3.1416/4*(E10*E10)*E9/1000+E19)/E19</f>
        <v>6.267047539924132</v>
      </c>
      <c r="F17" s="100" t="s">
        <v>134</v>
      </c>
    </row>
    <row r="18" spans="2:6" ht="12.75">
      <c r="B18" s="3"/>
      <c r="C18" s="4"/>
      <c r="D18" s="110" t="s">
        <v>135</v>
      </c>
      <c r="E18" s="19">
        <f>3.1416/6*E11*(0.75*(E10*E10)+(E11*E11))/1000</f>
        <v>3.5470590847999994</v>
      </c>
      <c r="F18" s="100" t="s">
        <v>138</v>
      </c>
    </row>
    <row r="19" spans="2:6" ht="12.75">
      <c r="B19" s="6"/>
      <c r="C19" s="7"/>
      <c r="D19" s="103" t="s">
        <v>136</v>
      </c>
      <c r="E19" s="19">
        <f>3.1416/4*(E10*E10)*E8/1000-E18+E12</f>
        <v>10.2622238152</v>
      </c>
      <c r="F19" s="100" t="s">
        <v>139</v>
      </c>
    </row>
    <row r="20" spans="2:6" ht="12.75">
      <c r="B20" s="9"/>
      <c r="C20" s="10"/>
      <c r="D20" s="107" t="s">
        <v>137</v>
      </c>
      <c r="E20" s="19">
        <f>(3.1416/4*((E10*E10)+(4*E11*E11)))/100</f>
        <v>22.383585840000002</v>
      </c>
      <c r="F20" s="100" t="s">
        <v>139</v>
      </c>
    </row>
    <row r="21" ht="12.75">
      <c r="J21" s="101" t="s">
        <v>140</v>
      </c>
    </row>
    <row r="22" ht="12.75">
      <c r="J22" s="16">
        <f>(E6/2)+E7+E8-E9</f>
        <v>88.7</v>
      </c>
    </row>
    <row r="23" ht="12.75">
      <c r="J23" s="16">
        <f>(J22^2)+((E6/2)^2)-(E7^2)</f>
        <v>15.180000000000291</v>
      </c>
    </row>
    <row r="24" ht="12.75">
      <c r="J24" s="16">
        <f>(2*(E6/2)*J22)</f>
        <v>3672.18</v>
      </c>
    </row>
    <row r="25" ht="12.75">
      <c r="J25" s="16">
        <f>ACOS(J23/J24)</f>
        <v>1.5666625307300497</v>
      </c>
    </row>
    <row r="26" ht="12.75">
      <c r="J26" s="16">
        <f>DEGREES(J25)</f>
        <v>89.76315093211649</v>
      </c>
    </row>
  </sheetData>
  <printOptions/>
  <pageMargins left="0.75" right="0.75" top="1" bottom="1" header="0.5" footer="0.5"/>
  <pageSetup horizontalDpi="300" verticalDpi="300" orientation="portrait" paperSize="9" r:id="rId3"/>
  <legacyDrawing r:id="rId2"/>
  <oleObjects>
    <oleObject progId="AutoCAD.Drawing.16" shapeId="791379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B2:L14"/>
  <sheetViews>
    <sheetView workbookViewId="0" topLeftCell="A1">
      <selection activeCell="B2" sqref="B2"/>
    </sheetView>
  </sheetViews>
  <sheetFormatPr defaultColWidth="9.140625" defaultRowHeight="12.75"/>
  <cols>
    <col min="4" max="4" width="9.421875" style="0" customWidth="1"/>
    <col min="9" max="9" width="11.140625" style="0" customWidth="1"/>
  </cols>
  <sheetData>
    <row r="2" spans="2:11" ht="12.75">
      <c r="B2" s="93" t="s">
        <v>141</v>
      </c>
      <c r="C2" s="26"/>
      <c r="D2" s="26"/>
      <c r="E2" s="26"/>
      <c r="F2" s="26"/>
      <c r="G2" s="26"/>
      <c r="H2" s="26"/>
      <c r="I2" s="26"/>
      <c r="J2" s="26"/>
      <c r="K2" s="26"/>
    </row>
    <row r="3" ht="12.75">
      <c r="B3" s="1" t="s">
        <v>158</v>
      </c>
    </row>
    <row r="6" spans="2:8" ht="12.75">
      <c r="B6" s="3"/>
      <c r="C6" s="110" t="s">
        <v>142</v>
      </c>
      <c r="D6" s="12">
        <v>295</v>
      </c>
      <c r="E6" s="100" t="s">
        <v>50</v>
      </c>
      <c r="H6" s="1" t="s">
        <v>155</v>
      </c>
    </row>
    <row r="7" spans="2:5" ht="12.75">
      <c r="B7" s="6"/>
      <c r="C7" s="103" t="s">
        <v>143</v>
      </c>
      <c r="D7" s="12">
        <v>182</v>
      </c>
      <c r="E7" s="100" t="s">
        <v>9</v>
      </c>
    </row>
    <row r="8" spans="3:12" ht="12.75">
      <c r="C8" s="83" t="s">
        <v>144</v>
      </c>
      <c r="D8" s="12">
        <v>8000</v>
      </c>
      <c r="E8" s="100" t="s">
        <v>43</v>
      </c>
      <c r="H8" s="6"/>
      <c r="I8" s="83" t="s">
        <v>156</v>
      </c>
      <c r="J8" s="12">
        <v>15</v>
      </c>
      <c r="K8" s="114" t="s">
        <v>154</v>
      </c>
      <c r="L8" s="102"/>
    </row>
    <row r="9" spans="2:12" ht="12.75">
      <c r="B9" s="6"/>
      <c r="C9" s="103" t="s">
        <v>145</v>
      </c>
      <c r="D9" s="12">
        <v>1078</v>
      </c>
      <c r="E9" s="100" t="s">
        <v>146</v>
      </c>
      <c r="I9" s="96" t="s">
        <v>151</v>
      </c>
      <c r="J9" s="116">
        <f>J8/100000</f>
        <v>0.00015</v>
      </c>
      <c r="K9" s="114" t="s">
        <v>149</v>
      </c>
      <c r="L9" s="102"/>
    </row>
    <row r="11" spans="8:11" ht="12.75">
      <c r="H11" s="6"/>
      <c r="I11" s="103" t="s">
        <v>157</v>
      </c>
      <c r="J11" s="16">
        <f>((J9/D12)*D6)*100</f>
        <v>1167.032967032967</v>
      </c>
      <c r="K11" s="100" t="s">
        <v>146</v>
      </c>
    </row>
    <row r="12" spans="2:5" ht="12.75">
      <c r="B12" s="6"/>
      <c r="C12" s="103" t="s">
        <v>147</v>
      </c>
      <c r="D12" s="115">
        <f>D7/(D8*6)</f>
        <v>0.0037916666666666667</v>
      </c>
      <c r="E12" s="113" t="s">
        <v>148</v>
      </c>
    </row>
    <row r="13" spans="3:6" ht="12.75">
      <c r="C13" s="112" t="s">
        <v>150</v>
      </c>
      <c r="D13" s="116">
        <f>(((D9/100)/D6)*D12)</f>
        <v>0.00013855649717514125</v>
      </c>
      <c r="E13" s="114" t="s">
        <v>149</v>
      </c>
      <c r="F13" s="102"/>
    </row>
    <row r="14" spans="3:6" ht="12.75">
      <c r="C14" s="96" t="s">
        <v>151</v>
      </c>
      <c r="D14" s="117">
        <f>D13*100000</f>
        <v>13.855649717514124</v>
      </c>
      <c r="E14" s="114" t="s">
        <v>154</v>
      </c>
      <c r="F14" s="102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M36"/>
  <sheetViews>
    <sheetView workbookViewId="0" topLeftCell="A1">
      <selection activeCell="B2" sqref="B2"/>
    </sheetView>
  </sheetViews>
  <sheetFormatPr defaultColWidth="9.140625" defaultRowHeight="12.75"/>
  <cols>
    <col min="3" max="3" width="10.28125" style="0" customWidth="1"/>
  </cols>
  <sheetData>
    <row r="2" spans="2:13" ht="12.75">
      <c r="B2" s="93" t="s">
        <v>152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ht="12.75">
      <c r="B3" s="1" t="s">
        <v>153</v>
      </c>
    </row>
    <row r="6" spans="2:8" ht="12.75">
      <c r="B6" s="3"/>
      <c r="C6" s="110" t="s">
        <v>142</v>
      </c>
      <c r="D6" s="12">
        <v>295</v>
      </c>
      <c r="E6" s="100" t="s">
        <v>50</v>
      </c>
      <c r="H6" s="123"/>
    </row>
    <row r="7" spans="2:8" ht="12.75">
      <c r="B7" s="6"/>
      <c r="C7" s="103" t="s">
        <v>143</v>
      </c>
      <c r="D7" s="12">
        <v>182</v>
      </c>
      <c r="E7" s="100" t="s">
        <v>9</v>
      </c>
      <c r="H7" s="123"/>
    </row>
    <row r="8" spans="1:8" ht="12.75">
      <c r="A8" s="42"/>
      <c r="B8" s="9"/>
      <c r="C8" s="107" t="s">
        <v>145</v>
      </c>
      <c r="D8" s="120">
        <v>1078</v>
      </c>
      <c r="E8" s="121" t="s">
        <v>146</v>
      </c>
      <c r="H8" s="123"/>
    </row>
    <row r="9" ht="12.75">
      <c r="H9" s="123"/>
    </row>
    <row r="10" ht="12.75">
      <c r="H10" s="123"/>
    </row>
    <row r="11" spans="2:8" ht="12.75">
      <c r="B11" s="6"/>
      <c r="C11" s="103" t="s">
        <v>147</v>
      </c>
      <c r="D11" s="115">
        <f>(D8/100)/D6</f>
        <v>0.03654237288135593</v>
      </c>
      <c r="E11" s="113" t="s">
        <v>148</v>
      </c>
      <c r="H11" s="123"/>
    </row>
    <row r="12" spans="3:8" ht="12.75">
      <c r="C12" s="83" t="s">
        <v>159</v>
      </c>
      <c r="D12" s="119">
        <f>D11*D7</f>
        <v>6.650711864406779</v>
      </c>
      <c r="E12" s="114" t="s">
        <v>160</v>
      </c>
      <c r="F12" s="102"/>
      <c r="H12" s="123"/>
    </row>
    <row r="13" ht="12.75">
      <c r="H13" s="123"/>
    </row>
    <row r="14" spans="3:8" ht="12.75">
      <c r="C14" s="96"/>
      <c r="D14" s="118"/>
      <c r="E14" s="94"/>
      <c r="F14" s="94"/>
      <c r="H14" s="123"/>
    </row>
    <row r="15" ht="12.75">
      <c r="H15" s="123"/>
    </row>
    <row r="16" ht="12.75">
      <c r="H16" s="123"/>
    </row>
    <row r="17" ht="12.75">
      <c r="H17" s="123"/>
    </row>
    <row r="18" ht="12.75">
      <c r="H18" s="123"/>
    </row>
    <row r="19" ht="12.75">
      <c r="H19" s="123"/>
    </row>
    <row r="20" ht="12.75">
      <c r="H20" s="123"/>
    </row>
    <row r="21" ht="12.75">
      <c r="H21" s="123"/>
    </row>
    <row r="22" ht="12.75">
      <c r="H22" s="123"/>
    </row>
    <row r="23" ht="12.75">
      <c r="H23" s="123"/>
    </row>
    <row r="24" ht="12.75">
      <c r="H24" s="123"/>
    </row>
    <row r="25" ht="12.75">
      <c r="H25" s="123"/>
    </row>
    <row r="26" ht="12.75">
      <c r="H26" s="123"/>
    </row>
    <row r="27" ht="12.75">
      <c r="H27" s="123"/>
    </row>
    <row r="28" ht="12.75">
      <c r="H28" s="123"/>
    </row>
    <row r="29" ht="12.75">
      <c r="H29" s="123"/>
    </row>
    <row r="30" ht="12.75">
      <c r="H30" s="123"/>
    </row>
    <row r="31" ht="12.75">
      <c r="H31" s="123"/>
    </row>
    <row r="32" ht="12.75">
      <c r="H32" s="123"/>
    </row>
    <row r="33" ht="12.75">
      <c r="H33" s="123"/>
    </row>
    <row r="34" ht="12.75">
      <c r="H34" s="123"/>
    </row>
    <row r="35" ht="12.75">
      <c r="H35" s="123"/>
    </row>
    <row r="36" ht="12.75">
      <c r="H36" s="123"/>
    </row>
  </sheetData>
  <mergeCells count="1">
    <mergeCell ref="H6:H36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K11"/>
  <sheetViews>
    <sheetView workbookViewId="0" topLeftCell="A1">
      <selection activeCell="B2" sqref="B2"/>
    </sheetView>
  </sheetViews>
  <sheetFormatPr defaultColWidth="9.140625" defaultRowHeight="12.75"/>
  <sheetData>
    <row r="2" spans="2:10" ht="12.75">
      <c r="B2" s="93" t="s">
        <v>73</v>
      </c>
      <c r="C2" s="26"/>
      <c r="D2" s="26"/>
      <c r="E2" s="26"/>
      <c r="F2" s="26"/>
      <c r="G2" s="26"/>
      <c r="H2" s="26"/>
      <c r="I2" s="26"/>
      <c r="J2" s="26"/>
    </row>
    <row r="3" spans="2:11" ht="12.75">
      <c r="B3" s="1" t="s">
        <v>126</v>
      </c>
      <c r="K3" s="26"/>
    </row>
    <row r="5" spans="2:9" ht="12.75">
      <c r="B5" s="68"/>
      <c r="C5" s="69"/>
      <c r="D5" s="24" t="s">
        <v>77</v>
      </c>
      <c r="E5" s="12">
        <v>24</v>
      </c>
      <c r="F5" s="75" t="s">
        <v>8</v>
      </c>
      <c r="H5" s="67">
        <f>3.1416*((E5/2)*(E5/2))</f>
        <v>452.3904</v>
      </c>
      <c r="I5" s="67">
        <f>H5/E6</f>
        <v>113.0976</v>
      </c>
    </row>
    <row r="6" spans="2:9" ht="12.75">
      <c r="B6" s="73"/>
      <c r="C6" s="74"/>
      <c r="D6" s="25" t="s">
        <v>76</v>
      </c>
      <c r="E6" s="12">
        <v>4</v>
      </c>
      <c r="H6" s="67">
        <f>I5/E7</f>
        <v>11.30976</v>
      </c>
      <c r="I6" s="67"/>
    </row>
    <row r="7" spans="2:6" ht="12.75">
      <c r="B7" s="70"/>
      <c r="C7" s="71"/>
      <c r="D7" s="72" t="s">
        <v>75</v>
      </c>
      <c r="E7" s="12">
        <v>10</v>
      </c>
      <c r="F7" s="75" t="s">
        <v>8</v>
      </c>
    </row>
    <row r="8" spans="2:8" ht="12.75">
      <c r="B8" s="70"/>
      <c r="C8" s="71"/>
      <c r="D8" s="72" t="s">
        <v>74</v>
      </c>
      <c r="E8" s="12">
        <v>80</v>
      </c>
      <c r="F8" s="75" t="s">
        <v>70</v>
      </c>
      <c r="H8" s="77" t="s">
        <v>78</v>
      </c>
    </row>
    <row r="11" spans="2:7" ht="12.75">
      <c r="B11" s="76"/>
      <c r="C11" s="76"/>
      <c r="D11" s="76"/>
      <c r="E11" s="13" t="s">
        <v>80</v>
      </c>
      <c r="F11" s="19">
        <f>H6*(E8/100)</f>
        <v>9.047808000000002</v>
      </c>
      <c r="G11" s="17" t="s">
        <v>8</v>
      </c>
    </row>
  </sheetData>
  <printOptions/>
  <pageMargins left="0.75" right="0.75" top="1" bottom="1" header="0.5" footer="0.5"/>
  <pageSetup orientation="portrait" paperSize="9"/>
  <legacyDrawing r:id="rId2"/>
  <oleObjects>
    <oleObject progId="AutoCAD.Drawing.15" shapeId="507198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B3:K35"/>
  <sheetViews>
    <sheetView workbookViewId="0" topLeftCell="A1">
      <selection activeCell="B3" sqref="B3"/>
    </sheetView>
  </sheetViews>
  <sheetFormatPr defaultColWidth="9.140625" defaultRowHeight="12.75"/>
  <cols>
    <col min="2" max="2" width="10.7109375" style="0" customWidth="1"/>
    <col min="7" max="7" width="10.7109375" style="0" customWidth="1"/>
  </cols>
  <sheetData>
    <row r="3" spans="2:11" ht="12.75">
      <c r="B3" s="93" t="s">
        <v>81</v>
      </c>
      <c r="C3" s="26"/>
      <c r="D3" s="26"/>
      <c r="E3" s="26"/>
      <c r="F3" s="26"/>
      <c r="G3" s="26"/>
      <c r="H3" s="26"/>
      <c r="I3" s="26"/>
      <c r="J3" s="26"/>
      <c r="K3" s="26"/>
    </row>
    <row r="4" ht="12.75">
      <c r="B4" s="1"/>
    </row>
    <row r="6" spans="2:10" ht="12.75">
      <c r="B6" s="1" t="s">
        <v>85</v>
      </c>
      <c r="E6" s="1" t="s">
        <v>116</v>
      </c>
      <c r="F6" s="1"/>
      <c r="G6" s="1"/>
      <c r="H6" s="1" t="s">
        <v>117</v>
      </c>
      <c r="I6" s="1"/>
      <c r="J6" s="1"/>
    </row>
    <row r="7" spans="2:10" ht="12.75">
      <c r="B7" s="83" t="s">
        <v>83</v>
      </c>
      <c r="C7" s="84">
        <v>16</v>
      </c>
      <c r="E7" s="76" t="s">
        <v>120</v>
      </c>
      <c r="F7" s="84">
        <v>60</v>
      </c>
      <c r="G7" t="s">
        <v>67</v>
      </c>
      <c r="H7" s="76" t="s">
        <v>119</v>
      </c>
      <c r="I7" s="84">
        <v>30</v>
      </c>
      <c r="J7" t="s">
        <v>67</v>
      </c>
    </row>
    <row r="8" spans="2:10" ht="12.75">
      <c r="B8" s="83" t="s">
        <v>84</v>
      </c>
      <c r="C8" s="84">
        <v>45</v>
      </c>
      <c r="E8" s="76" t="s">
        <v>118</v>
      </c>
      <c r="F8" s="19">
        <f>F7*3.1416</f>
        <v>188.496</v>
      </c>
      <c r="G8" t="s">
        <v>67</v>
      </c>
      <c r="H8" s="76" t="s">
        <v>118</v>
      </c>
      <c r="I8" s="19">
        <f>(I7*2)*3.1416</f>
        <v>188.496</v>
      </c>
      <c r="J8" t="s">
        <v>67</v>
      </c>
    </row>
    <row r="9" spans="2:3" ht="12.75">
      <c r="B9" s="83" t="s">
        <v>82</v>
      </c>
      <c r="C9" s="85">
        <f>C8/C7</f>
        <v>2.8125</v>
      </c>
    </row>
    <row r="11" ht="12.75">
      <c r="B11" s="1" t="s">
        <v>89</v>
      </c>
    </row>
    <row r="12" ht="12.75">
      <c r="B12" s="86" t="s">
        <v>86</v>
      </c>
    </row>
    <row r="14" ht="12.75">
      <c r="B14" s="1" t="s">
        <v>87</v>
      </c>
    </row>
    <row r="16" spans="2:5" ht="12.75">
      <c r="B16" s="87"/>
      <c r="C16" s="13" t="s">
        <v>92</v>
      </c>
      <c r="D16" s="91">
        <v>4.117</v>
      </c>
      <c r="E16" t="s">
        <v>93</v>
      </c>
    </row>
    <row r="17" spans="2:5" ht="12.75">
      <c r="B17" s="68"/>
      <c r="C17" s="24" t="s">
        <v>94</v>
      </c>
      <c r="D17" s="92">
        <v>3.083</v>
      </c>
      <c r="E17" t="s">
        <v>104</v>
      </c>
    </row>
    <row r="18" spans="2:8" ht="12.75">
      <c r="B18" s="68"/>
      <c r="C18" s="24" t="s">
        <v>95</v>
      </c>
      <c r="D18" s="92">
        <v>1.882</v>
      </c>
      <c r="E18" t="s">
        <v>104</v>
      </c>
      <c r="G18" s="87" t="s">
        <v>114</v>
      </c>
      <c r="H18" s="85">
        <f>D24/D23</f>
        <v>2.8125</v>
      </c>
    </row>
    <row r="19" spans="2:8" ht="12.75">
      <c r="B19" s="68"/>
      <c r="C19" s="24" t="s">
        <v>96</v>
      </c>
      <c r="D19" s="92">
        <v>1.4</v>
      </c>
      <c r="E19" t="s">
        <v>104</v>
      </c>
      <c r="G19" s="87" t="s">
        <v>115</v>
      </c>
      <c r="H19" s="85">
        <f>H18*D16</f>
        <v>11.5790625</v>
      </c>
    </row>
    <row r="20" spans="2:8" ht="12.75">
      <c r="B20" s="73"/>
      <c r="C20" s="25" t="s">
        <v>97</v>
      </c>
      <c r="D20" s="92">
        <v>1.13</v>
      </c>
      <c r="E20" t="s">
        <v>104</v>
      </c>
      <c r="G20" s="87">
        <v>1</v>
      </c>
      <c r="H20" s="85">
        <f>D17*H19</f>
        <v>35.6982496875</v>
      </c>
    </row>
    <row r="21" spans="2:8" ht="12.75">
      <c r="B21" s="70"/>
      <c r="C21" s="72" t="s">
        <v>98</v>
      </c>
      <c r="D21" s="92">
        <v>1</v>
      </c>
      <c r="E21" t="s">
        <v>104</v>
      </c>
      <c r="G21" s="87">
        <v>2</v>
      </c>
      <c r="H21" s="85">
        <f>D18*H19</f>
        <v>21.791795625</v>
      </c>
    </row>
    <row r="22" spans="2:8" ht="12.75">
      <c r="B22" s="70"/>
      <c r="C22" s="72" t="s">
        <v>99</v>
      </c>
      <c r="D22" s="92">
        <v>0.9</v>
      </c>
      <c r="E22" t="s">
        <v>104</v>
      </c>
      <c r="G22" s="87">
        <v>3</v>
      </c>
      <c r="H22" s="85">
        <f>D19*H19</f>
        <v>16.2106875</v>
      </c>
    </row>
    <row r="23" spans="2:8" ht="12.75">
      <c r="B23" s="68"/>
      <c r="C23" s="24" t="s">
        <v>100</v>
      </c>
      <c r="D23" s="91">
        <v>16</v>
      </c>
      <c r="E23" t="s">
        <v>103</v>
      </c>
      <c r="G23" s="87">
        <v>4</v>
      </c>
      <c r="H23" s="85">
        <f>D20*H19</f>
        <v>13.084340624999998</v>
      </c>
    </row>
    <row r="24" spans="2:8" ht="12.75">
      <c r="B24" s="68"/>
      <c r="C24" s="24" t="s">
        <v>101</v>
      </c>
      <c r="D24" s="91">
        <v>45</v>
      </c>
      <c r="E24" t="s">
        <v>103</v>
      </c>
      <c r="G24" s="87">
        <v>5</v>
      </c>
      <c r="H24" s="85">
        <f>D21*H19</f>
        <v>11.5790625</v>
      </c>
    </row>
    <row r="25" spans="2:8" ht="12.75">
      <c r="B25" s="68"/>
      <c r="C25" s="24" t="s">
        <v>90</v>
      </c>
      <c r="D25" s="91">
        <v>200</v>
      </c>
      <c r="E25" t="s">
        <v>67</v>
      </c>
      <c r="G25" s="87">
        <v>6</v>
      </c>
      <c r="H25" s="85">
        <f>D22*H19</f>
        <v>10.42115625</v>
      </c>
    </row>
    <row r="26" spans="2:5" ht="12.75">
      <c r="B26" s="3"/>
      <c r="C26" s="24" t="s">
        <v>102</v>
      </c>
      <c r="D26" s="91">
        <v>8500</v>
      </c>
      <c r="E26" t="s">
        <v>43</v>
      </c>
    </row>
    <row r="27" spans="2:5" ht="12.75">
      <c r="B27" s="6"/>
      <c r="C27" s="25" t="s">
        <v>91</v>
      </c>
      <c r="D27" s="91">
        <v>9000</v>
      </c>
      <c r="E27" t="s">
        <v>43</v>
      </c>
    </row>
    <row r="29" spans="4:7" ht="12.75">
      <c r="D29" s="89" t="s">
        <v>106</v>
      </c>
      <c r="E29" s="89" t="s">
        <v>107</v>
      </c>
      <c r="F29" s="89" t="s">
        <v>108</v>
      </c>
      <c r="G29" s="89" t="s">
        <v>88</v>
      </c>
    </row>
    <row r="30" spans="2:7" ht="12.75">
      <c r="B30" s="3"/>
      <c r="C30" s="88" t="s">
        <v>109</v>
      </c>
      <c r="D30" s="90">
        <f>((D27/H20)*H21)</f>
        <v>5493.999351281219</v>
      </c>
      <c r="E30" s="19">
        <f aca="true" t="shared" si="0" ref="E30:E35">F30*3.6</f>
        <v>18.468130172348417</v>
      </c>
      <c r="F30" s="19">
        <f>((D30/H20)/60)*(D25/100)</f>
        <v>5.130036158985671</v>
      </c>
      <c r="G30" s="90">
        <f>D27-D30</f>
        <v>3506.000648718781</v>
      </c>
    </row>
    <row r="31" spans="2:7" ht="12.75">
      <c r="B31" s="3"/>
      <c r="C31" s="24" t="s">
        <v>110</v>
      </c>
      <c r="D31" s="90">
        <f>((D27/H21)*H22)</f>
        <v>6695.00531349628</v>
      </c>
      <c r="E31" s="19">
        <f t="shared" si="0"/>
        <v>36.86711510353354</v>
      </c>
      <c r="F31" s="19">
        <f>((D31/H21)/60)*(D25/100)</f>
        <v>10.240865306537096</v>
      </c>
      <c r="G31" s="90">
        <f>D27-D31</f>
        <v>2304.99468650372</v>
      </c>
    </row>
    <row r="32" spans="2:7" ht="12.75">
      <c r="B32" s="3"/>
      <c r="C32" s="24" t="s">
        <v>111</v>
      </c>
      <c r="D32" s="90">
        <f>((D27/H22)*H23)</f>
        <v>7264.285714285713</v>
      </c>
      <c r="E32" s="19">
        <f t="shared" si="0"/>
        <v>53.77404787516172</v>
      </c>
      <c r="F32" s="19">
        <f>((D32/H22)/60)*(D25/100)</f>
        <v>14.937235520878255</v>
      </c>
      <c r="G32" s="90">
        <f>D27-D32</f>
        <v>1735.7142857142871</v>
      </c>
    </row>
    <row r="33" spans="2:7" ht="12.75">
      <c r="B33" s="6"/>
      <c r="C33" s="25" t="s">
        <v>112</v>
      </c>
      <c r="D33" s="90">
        <f>((D27/H23)*H24)</f>
        <v>7964.6017699115055</v>
      </c>
      <c r="E33" s="19">
        <f t="shared" si="0"/>
        <v>73.04550070817045</v>
      </c>
      <c r="F33" s="19">
        <f>((D33/H23)/60)*(D25/100)</f>
        <v>20.29041686338068</v>
      </c>
      <c r="G33" s="90">
        <f>D27-D33</f>
        <v>1035.3982300884945</v>
      </c>
    </row>
    <row r="34" spans="2:7" ht="12.75">
      <c r="B34" s="9"/>
      <c r="C34" s="72" t="s">
        <v>113</v>
      </c>
      <c r="D34" s="90">
        <f>((D27/H24)*H25)</f>
        <v>8100</v>
      </c>
      <c r="E34" s="19">
        <f t="shared" si="0"/>
        <v>83.94461986883654</v>
      </c>
      <c r="F34" s="19">
        <f>((D34/H24)/60)*(D25/100)</f>
        <v>23.317949963565706</v>
      </c>
      <c r="G34" s="90">
        <f>D27-D34</f>
        <v>900</v>
      </c>
    </row>
    <row r="35" spans="2:7" ht="12.75">
      <c r="B35" s="9"/>
      <c r="C35" s="72" t="s">
        <v>105</v>
      </c>
      <c r="D35" s="85">
        <f>D26</f>
        <v>8500</v>
      </c>
      <c r="E35" s="19">
        <f t="shared" si="0"/>
        <v>97.87781466188073</v>
      </c>
      <c r="F35" s="19">
        <f>((D35/H25)/60)*(D25/100)</f>
        <v>27.188281850522426</v>
      </c>
      <c r="G35" s="2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M30"/>
  <sheetViews>
    <sheetView workbookViewId="0" topLeftCell="A1">
      <selection activeCell="B2" sqref="B2"/>
    </sheetView>
  </sheetViews>
  <sheetFormatPr defaultColWidth="9.140625" defaultRowHeight="12.75"/>
  <cols>
    <col min="9" max="9" width="10.7109375" style="0" customWidth="1"/>
  </cols>
  <sheetData>
    <row r="2" spans="2:11" ht="12.75">
      <c r="B2" s="93" t="s">
        <v>38</v>
      </c>
      <c r="C2" s="26"/>
      <c r="D2" s="26"/>
      <c r="E2" s="26"/>
      <c r="F2" s="26"/>
      <c r="G2" s="26"/>
      <c r="H2" s="26"/>
      <c r="I2" s="26"/>
      <c r="J2" s="26"/>
      <c r="K2" s="26"/>
    </row>
    <row r="3" ht="12.75">
      <c r="B3" s="1" t="s">
        <v>39</v>
      </c>
    </row>
    <row r="6" spans="2:10" ht="12.75">
      <c r="B6" s="78" t="s">
        <v>51</v>
      </c>
      <c r="C6" s="42"/>
      <c r="D6" s="42"/>
      <c r="E6" s="42"/>
      <c r="F6" s="42"/>
      <c r="G6" s="26"/>
      <c r="H6" s="42"/>
      <c r="I6" s="42"/>
      <c r="J6" s="42"/>
    </row>
    <row r="7" spans="2:11" ht="12.75">
      <c r="B7" s="82"/>
      <c r="C7" s="82"/>
      <c r="D7" s="82"/>
      <c r="E7" s="82"/>
      <c r="F7" s="82"/>
      <c r="G7" s="42"/>
      <c r="H7" s="82"/>
      <c r="I7" s="82"/>
      <c r="J7" s="82"/>
      <c r="K7" s="82"/>
    </row>
    <row r="8" spans="2:11" ht="12.75">
      <c r="B8" s="79" t="s">
        <v>44</v>
      </c>
      <c r="C8" s="66"/>
      <c r="D8" s="66"/>
      <c r="E8" s="66"/>
      <c r="F8" s="80"/>
      <c r="H8" s="81" t="s">
        <v>68</v>
      </c>
      <c r="I8" s="66"/>
      <c r="J8" s="66"/>
      <c r="K8" s="80"/>
    </row>
    <row r="9" spans="2:11" ht="12.75">
      <c r="B9" s="27"/>
      <c r="C9" s="28"/>
      <c r="D9" s="39" t="s">
        <v>40</v>
      </c>
      <c r="E9" s="33">
        <v>400</v>
      </c>
      <c r="F9" s="36" t="s">
        <v>42</v>
      </c>
      <c r="H9" s="56"/>
      <c r="I9" s="58" t="s">
        <v>60</v>
      </c>
      <c r="J9" s="34">
        <f>E14</f>
        <v>25</v>
      </c>
      <c r="K9" s="37" t="s">
        <v>8</v>
      </c>
    </row>
    <row r="10" spans="2:11" ht="12.75">
      <c r="B10" s="27"/>
      <c r="C10" s="28"/>
      <c r="D10" s="40" t="s">
        <v>45</v>
      </c>
      <c r="E10" s="33">
        <v>10000</v>
      </c>
      <c r="F10" s="36" t="s">
        <v>43</v>
      </c>
      <c r="H10" s="59"/>
      <c r="I10" s="60" t="s">
        <v>62</v>
      </c>
      <c r="J10" s="33">
        <v>160</v>
      </c>
      <c r="K10" s="36" t="s">
        <v>8</v>
      </c>
    </row>
    <row r="11" spans="2:11" ht="12.75">
      <c r="B11" s="27"/>
      <c r="C11" s="28"/>
      <c r="D11" s="40" t="s">
        <v>46</v>
      </c>
      <c r="E11" s="33">
        <v>7000</v>
      </c>
      <c r="F11" s="36" t="s">
        <v>43</v>
      </c>
      <c r="H11" s="59"/>
      <c r="I11" s="60" t="s">
        <v>63</v>
      </c>
      <c r="J11" s="33">
        <v>220</v>
      </c>
      <c r="K11" s="36" t="s">
        <v>8</v>
      </c>
    </row>
    <row r="12" spans="2:11" ht="12.75">
      <c r="B12" s="29"/>
      <c r="C12" s="30"/>
      <c r="D12" s="39" t="s">
        <v>41</v>
      </c>
      <c r="E12" s="34">
        <v>180</v>
      </c>
      <c r="F12" s="37" t="s">
        <v>42</v>
      </c>
      <c r="H12" s="56"/>
      <c r="I12" s="58" t="s">
        <v>64</v>
      </c>
      <c r="J12" s="50">
        <f>D19-J11-J10-J9</f>
        <v>103.33333333333331</v>
      </c>
      <c r="K12" s="37" t="s">
        <v>8</v>
      </c>
    </row>
    <row r="13" spans="2:11" ht="12.75">
      <c r="B13" s="31"/>
      <c r="C13" s="32"/>
      <c r="D13" s="41" t="s">
        <v>47</v>
      </c>
      <c r="E13" s="35">
        <v>49</v>
      </c>
      <c r="F13" s="38" t="s">
        <v>50</v>
      </c>
      <c r="H13" s="61"/>
      <c r="I13" s="58" t="s">
        <v>65</v>
      </c>
      <c r="J13" s="35">
        <v>140</v>
      </c>
      <c r="K13" s="38" t="s">
        <v>8</v>
      </c>
    </row>
    <row r="14" spans="2:11" ht="12.75">
      <c r="B14" s="31"/>
      <c r="C14" s="32"/>
      <c r="D14" s="41" t="s">
        <v>49</v>
      </c>
      <c r="E14" s="35">
        <v>25</v>
      </c>
      <c r="F14" s="38" t="s">
        <v>8</v>
      </c>
      <c r="H14" s="61"/>
      <c r="I14" s="58" t="s">
        <v>66</v>
      </c>
      <c r="J14" s="49">
        <f>D20-D19</f>
        <v>228.5714285714285</v>
      </c>
      <c r="K14" s="38" t="s">
        <v>8</v>
      </c>
    </row>
    <row r="15" spans="2:11" ht="12.75">
      <c r="B15" s="31"/>
      <c r="C15" s="32"/>
      <c r="D15" s="41" t="s">
        <v>48</v>
      </c>
      <c r="E15" s="35">
        <v>20</v>
      </c>
      <c r="F15" s="38" t="s">
        <v>42</v>
      </c>
      <c r="H15" s="61"/>
      <c r="I15" s="62" t="s">
        <v>59</v>
      </c>
      <c r="J15" s="35">
        <v>400</v>
      </c>
      <c r="K15" s="38" t="s">
        <v>8</v>
      </c>
    </row>
    <row r="16" spans="8:11" ht="12.75">
      <c r="H16" s="56"/>
      <c r="I16" s="58" t="s">
        <v>61</v>
      </c>
      <c r="J16" s="46">
        <f>(J9+J10+J11+J12+J13+J14+J15)/10</f>
        <v>127.69047619047618</v>
      </c>
      <c r="K16" s="37" t="s">
        <v>67</v>
      </c>
    </row>
    <row r="18" spans="2:11" ht="12.75">
      <c r="B18" s="43" t="s">
        <v>53</v>
      </c>
      <c r="C18" s="47"/>
      <c r="D18" s="47"/>
      <c r="E18" s="48"/>
      <c r="H18" s="43" t="s">
        <v>52</v>
      </c>
      <c r="I18" s="44"/>
      <c r="J18" s="44"/>
      <c r="K18" s="45"/>
    </row>
    <row r="19" spans="2:11" ht="12.75">
      <c r="B19" s="56"/>
      <c r="C19" s="57" t="s">
        <v>54</v>
      </c>
      <c r="D19" s="46">
        <f>(((((((E12-20)*60)/(E10*360))*E9)/2)-(E14/1000))*1000)</f>
        <v>508.3333333333333</v>
      </c>
      <c r="E19" s="37" t="s">
        <v>8</v>
      </c>
      <c r="H19" s="59"/>
      <c r="I19" s="60" t="s">
        <v>56</v>
      </c>
      <c r="J19" s="51">
        <f>J20*2.9</f>
        <v>60.9</v>
      </c>
      <c r="K19" s="36" t="s">
        <v>8</v>
      </c>
    </row>
    <row r="20" spans="2:11" ht="12.75">
      <c r="B20" s="56"/>
      <c r="C20" s="57" t="s">
        <v>54</v>
      </c>
      <c r="D20" s="46">
        <f>(((((((E12-20)*60)/(E11*360))*E9)/2)-(E14/1000))*1000)</f>
        <v>736.9047619047618</v>
      </c>
      <c r="E20" s="37" t="s">
        <v>8</v>
      </c>
      <c r="H20" s="59"/>
      <c r="I20" s="63" t="s">
        <v>55</v>
      </c>
      <c r="J20" s="51">
        <f>0.3*(SQRT((E13/100)*E10))</f>
        <v>21</v>
      </c>
      <c r="K20" s="36" t="s">
        <v>8</v>
      </c>
    </row>
    <row r="21" spans="8:11" ht="12.75">
      <c r="H21" s="56"/>
      <c r="I21" s="64" t="s">
        <v>57</v>
      </c>
      <c r="J21" s="52">
        <f>1.155*J20</f>
        <v>24.255</v>
      </c>
      <c r="K21" s="37" t="s">
        <v>8</v>
      </c>
    </row>
    <row r="22" spans="7:11" ht="12.75">
      <c r="G22" s="42"/>
      <c r="H22" s="61"/>
      <c r="I22" s="65" t="s">
        <v>58</v>
      </c>
      <c r="J22" s="53">
        <f>J20*0.55</f>
        <v>11.55</v>
      </c>
      <c r="K22" s="38" t="s">
        <v>8</v>
      </c>
    </row>
    <row r="24" ht="12.75">
      <c r="M24" s="42"/>
    </row>
    <row r="25" spans="6:11" ht="12.75">
      <c r="F25" s="42"/>
      <c r="G25" s="42"/>
      <c r="H25" s="42"/>
      <c r="I25" s="42"/>
      <c r="J25" s="42"/>
      <c r="K25" s="42"/>
    </row>
    <row r="26" spans="6:11" ht="12.75">
      <c r="F26" s="42"/>
      <c r="G26" s="42"/>
      <c r="H26" s="42"/>
      <c r="I26" s="42"/>
      <c r="J26" s="42"/>
      <c r="K26" s="42"/>
    </row>
    <row r="27" spans="6:11" ht="12.75">
      <c r="F27" s="42"/>
      <c r="G27" s="42"/>
      <c r="H27" s="42"/>
      <c r="I27" s="42"/>
      <c r="J27" s="42"/>
      <c r="K27" s="42"/>
    </row>
    <row r="28" spans="6:11" ht="12.75">
      <c r="F28" s="42"/>
      <c r="G28" s="42"/>
      <c r="H28" s="42"/>
      <c r="I28" s="42"/>
      <c r="J28" s="42"/>
      <c r="K28" s="42"/>
    </row>
    <row r="29" spans="6:11" ht="12.75">
      <c r="F29" s="42"/>
      <c r="G29" s="42"/>
      <c r="H29" s="42"/>
      <c r="I29" s="42"/>
      <c r="J29" s="42"/>
      <c r="K29" s="42"/>
    </row>
    <row r="30" spans="6:11" ht="12.75">
      <c r="F30" s="42"/>
      <c r="G30" s="42"/>
      <c r="H30" s="42"/>
      <c r="I30" s="42"/>
      <c r="J30" s="42"/>
      <c r="K30" s="42"/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fam. Huijben</dc:creator>
  <cp:keywords/>
  <dc:description/>
  <cp:lastModifiedBy>John Huijben</cp:lastModifiedBy>
  <dcterms:created xsi:type="dcterms:W3CDTF">2005-02-14T17:13:35Z</dcterms:created>
  <dcterms:modified xsi:type="dcterms:W3CDTF">2008-07-13T19:16:28Z</dcterms:modified>
  <cp:category/>
  <cp:version/>
  <cp:contentType/>
  <cp:contentStatus/>
</cp:coreProperties>
</file>